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渡邊祥達\Desktop\アップロード用\"/>
    </mc:Choice>
  </mc:AlternateContent>
  <xr:revisionPtr revIDLastSave="0" documentId="13_ncr:1_{C2A46DBA-0017-45FC-8A84-E68EB05746E8}" xr6:coauthVersionLast="47" xr6:coauthVersionMax="47" xr10:uidLastSave="{00000000-0000-0000-0000-000000000000}"/>
  <bookViews>
    <workbookView xWindow="-120" yWindow="-120" windowWidth="20730" windowHeight="11160" xr2:uid="{DB6CF90F-28CD-4201-BFE1-2EE284BF2CE7}"/>
  </bookViews>
  <sheets>
    <sheet name="実施報告書兼請求書" sheetId="1" r:id="rId1"/>
  </sheets>
  <externalReferences>
    <externalReference r:id="rId2"/>
  </externalReferences>
  <definedNames>
    <definedName name="_xlnm.Print_Area" localSheetId="0">実施報告書兼請求書!$A$1:$AL$65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65" i="1" l="1"/>
  <c r="O65" i="1"/>
  <c r="G54" i="1"/>
  <c r="G53" i="1"/>
  <c r="L51" i="1"/>
  <c r="Q51" i="1" s="1"/>
  <c r="S50" i="1"/>
  <c r="AA50" i="1" s="1"/>
  <c r="G50" i="1"/>
  <c r="AK50" i="1" s="1"/>
  <c r="S49" i="1"/>
  <c r="AA49" i="1" s="1"/>
  <c r="G49" i="1"/>
  <c r="AK49" i="1" s="1"/>
  <c r="AK48" i="1"/>
  <c r="S48" i="1"/>
  <c r="AA48" i="1" s="1"/>
  <c r="Q48" i="1"/>
  <c r="G48" i="1"/>
  <c r="S47" i="1"/>
  <c r="AA47" i="1" s="1"/>
  <c r="G47" i="1"/>
  <c r="AK47" i="1" s="1"/>
  <c r="AK46" i="1"/>
  <c r="AC46" i="1"/>
  <c r="AA46" i="1"/>
  <c r="Q46" i="1"/>
  <c r="AK45" i="1"/>
  <c r="S45" i="1"/>
  <c r="AA45" i="1" s="1"/>
  <c r="Q45" i="1"/>
  <c r="G45" i="1"/>
  <c r="S44" i="1"/>
  <c r="AA44" i="1" s="1"/>
  <c r="G44" i="1"/>
  <c r="Q47" i="1" s="1"/>
  <c r="AK43" i="1"/>
  <c r="AC43" i="1"/>
  <c r="AA43" i="1"/>
  <c r="Q43" i="1"/>
  <c r="AK42" i="1"/>
  <c r="S42" i="1"/>
  <c r="AA42" i="1" s="1"/>
  <c r="Q42" i="1"/>
  <c r="G42" i="1"/>
  <c r="S41" i="1"/>
  <c r="AA41" i="1" s="1"/>
  <c r="Q41" i="1"/>
  <c r="G41" i="1"/>
  <c r="AK40" i="1"/>
  <c r="S40" i="1"/>
  <c r="AC40" i="1" s="1"/>
  <c r="Q40" i="1"/>
  <c r="AK39" i="1"/>
  <c r="S39" i="1"/>
  <c r="AC39" i="1" s="1"/>
  <c r="Q39" i="1"/>
  <c r="AK38" i="1"/>
  <c r="S38" i="1"/>
  <c r="AC38" i="1" s="1"/>
  <c r="Q38" i="1"/>
  <c r="G38" i="1"/>
  <c r="AK37" i="1"/>
  <c r="AC37" i="1"/>
  <c r="S37" i="1"/>
  <c r="Q37" i="1"/>
  <c r="G37" i="1"/>
  <c r="AK36" i="1"/>
  <c r="S36" i="1"/>
  <c r="AA38" i="1" s="1"/>
  <c r="Q36" i="1"/>
  <c r="G36" i="1"/>
  <c r="AK35" i="1"/>
  <c r="AC35" i="1"/>
  <c r="S35" i="1"/>
  <c r="AA35" i="1" s="1"/>
  <c r="Q35" i="1"/>
  <c r="AK34" i="1"/>
  <c r="S34" i="1"/>
  <c r="AC34" i="1" s="1"/>
  <c r="Q34" i="1"/>
  <c r="AK33" i="1"/>
  <c r="S33" i="1"/>
  <c r="AA33" i="1" s="1"/>
  <c r="Q33" i="1"/>
  <c r="AK32" i="1"/>
  <c r="S32" i="1"/>
  <c r="AC32" i="1" s="1"/>
  <c r="Q32" i="1"/>
  <c r="G32" i="1"/>
  <c r="S31" i="1"/>
  <c r="AC31" i="1" s="1"/>
  <c r="G31" i="1"/>
  <c r="Q31" i="1" s="1"/>
  <c r="AK30" i="1"/>
  <c r="AC30" i="1"/>
  <c r="S30" i="1"/>
  <c r="AA30" i="1" s="1"/>
  <c r="Q30" i="1"/>
  <c r="G30" i="1"/>
  <c r="S29" i="1"/>
  <c r="AC29" i="1" s="1"/>
  <c r="Q29" i="1"/>
  <c r="G29" i="1"/>
  <c r="AK29" i="1" s="1"/>
  <c r="AK28" i="1"/>
  <c r="AA28" i="1"/>
  <c r="S28" i="1"/>
  <c r="AC28" i="1" s="1"/>
  <c r="Q28" i="1"/>
  <c r="AK27" i="1"/>
  <c r="S27" i="1"/>
  <c r="AC27" i="1" s="1"/>
  <c r="Q27" i="1"/>
  <c r="G27" i="1"/>
  <c r="S26" i="1"/>
  <c r="AA26" i="1" s="1"/>
  <c r="G26" i="1"/>
  <c r="AK26" i="1" s="1"/>
  <c r="AK25" i="1"/>
  <c r="S25" i="1"/>
  <c r="AA25" i="1" s="1"/>
  <c r="Q25" i="1"/>
  <c r="AK24" i="1"/>
  <c r="S24" i="1"/>
  <c r="AC24" i="1" s="1"/>
  <c r="Q24" i="1"/>
  <c r="G24" i="1"/>
  <c r="S23" i="1"/>
  <c r="AC23" i="1" s="1"/>
  <c r="G23" i="1"/>
  <c r="Q23" i="1" s="1"/>
  <c r="AK22" i="1"/>
  <c r="AA22" i="1"/>
  <c r="S22" i="1"/>
  <c r="AC22" i="1" s="1"/>
  <c r="Q22" i="1"/>
  <c r="AK21" i="1"/>
  <c r="S21" i="1"/>
  <c r="AA21" i="1" s="1"/>
  <c r="Q21" i="1"/>
  <c r="G21" i="1"/>
  <c r="S20" i="1"/>
  <c r="AC20" i="1" s="1"/>
  <c r="G20" i="1"/>
  <c r="AK20" i="1" s="1"/>
  <c r="AK19" i="1"/>
  <c r="S19" i="1"/>
  <c r="AA19" i="1" s="1"/>
  <c r="Q19" i="1"/>
  <c r="AK18" i="1"/>
  <c r="AA18" i="1"/>
  <c r="S18" i="1"/>
  <c r="AC18" i="1" s="1"/>
  <c r="Q18" i="1"/>
  <c r="G18" i="1"/>
  <c r="S17" i="1"/>
  <c r="AC17" i="1" s="1"/>
  <c r="G17" i="1"/>
  <c r="Q17" i="1" s="1"/>
  <c r="AK16" i="1"/>
  <c r="AC16" i="1"/>
  <c r="S16" i="1"/>
  <c r="AA16" i="1" s="1"/>
  <c r="Q16" i="1"/>
  <c r="G16" i="1"/>
  <c r="AA15" i="1"/>
  <c r="S15" i="1"/>
  <c r="AC15" i="1" s="1"/>
  <c r="Q15" i="1"/>
  <c r="G15" i="1"/>
  <c r="AK15" i="1" s="1"/>
  <c r="T13" i="1"/>
  <c r="AK8" i="1"/>
  <c r="AA17" i="1" l="1"/>
  <c r="AA23" i="1"/>
  <c r="AA31" i="1"/>
  <c r="AC48" i="1"/>
  <c r="AK17" i="1"/>
  <c r="AK23" i="1"/>
  <c r="AA24" i="1"/>
  <c r="AC25" i="1"/>
  <c r="AA29" i="1"/>
  <c r="AK31" i="1"/>
  <c r="AA32" i="1"/>
  <c r="AC45" i="1"/>
  <c r="AC33" i="1"/>
  <c r="AA34" i="1"/>
  <c r="AC42" i="1"/>
  <c r="AC50" i="1"/>
  <c r="AC21" i="1"/>
  <c r="AC26" i="1"/>
  <c r="AC36" i="1"/>
  <c r="AA39" i="1"/>
  <c r="AC41" i="1"/>
  <c r="AC44" i="1"/>
  <c r="AC47" i="1"/>
  <c r="AC49" i="1"/>
  <c r="AC19" i="1"/>
  <c r="AA20" i="1"/>
  <c r="Q26" i="1"/>
  <c r="AA27" i="1"/>
  <c r="AA37" i="1"/>
  <c r="AA40" i="1"/>
  <c r="AK41" i="1"/>
  <c r="Q44" i="1"/>
  <c r="AK44" i="1"/>
  <c r="Q49" i="1"/>
  <c r="Q20" i="1"/>
  <c r="AA36" i="1"/>
  <c r="Q50" i="1"/>
  <c r="AC51" i="1" l="1"/>
  <c r="AK51" i="1" s="1"/>
  <c r="P11" i="1"/>
</calcChain>
</file>

<file path=xl/sharedStrings.xml><?xml version="1.0" encoding="utf-8"?>
<sst xmlns="http://schemas.openxmlformats.org/spreadsheetml/2006/main" count="72" uniqueCount="62">
  <si>
    <t>秋 田 県 広 域 予 防 接 種</t>
    <rPh sb="0" eb="1">
      <t>アキ</t>
    </rPh>
    <rPh sb="2" eb="3">
      <t>タ</t>
    </rPh>
    <rPh sb="4" eb="5">
      <t>ケン</t>
    </rPh>
    <rPh sb="6" eb="7">
      <t>ヒロシ</t>
    </rPh>
    <rPh sb="8" eb="9">
      <t>イキ</t>
    </rPh>
    <rPh sb="10" eb="11">
      <t>ヨ</t>
    </rPh>
    <rPh sb="12" eb="13">
      <t>ボウ</t>
    </rPh>
    <rPh sb="14" eb="15">
      <t>セッ</t>
    </rPh>
    <rPh sb="16" eb="17">
      <t>タネ</t>
    </rPh>
    <phoneticPr fontId="4"/>
  </si>
  <si>
    <t>実施報告書　兼　請求書</t>
    <rPh sb="0" eb="2">
      <t>ジッシ</t>
    </rPh>
    <rPh sb="2" eb="5">
      <t>ホウコクショ</t>
    </rPh>
    <rPh sb="6" eb="7">
      <t>ケン</t>
    </rPh>
    <rPh sb="8" eb="11">
      <t>セイキュウショ</t>
    </rPh>
    <phoneticPr fontId="4"/>
  </si>
  <si>
    <t>令和</t>
    <rPh sb="0" eb="2">
      <t>レイワ</t>
    </rPh>
    <phoneticPr fontId="4"/>
  </si>
  <si>
    <t>年</t>
    <rPh sb="0" eb="1">
      <t>ネン</t>
    </rPh>
    <phoneticPr fontId="4"/>
  </si>
  <si>
    <t>月</t>
    <rPh sb="0" eb="1">
      <t>ガツ</t>
    </rPh>
    <phoneticPr fontId="4"/>
  </si>
  <si>
    <t>日</t>
    <rPh sb="0" eb="1">
      <t>ヒ</t>
    </rPh>
    <phoneticPr fontId="4"/>
  </si>
  <si>
    <t>（宛先）</t>
  </si>
  <si>
    <t>大潟村長　様</t>
  </si>
  <si>
    <t>医療機関名</t>
    <rPh sb="0" eb="5">
      <t>イリョウキカンメイ</t>
    </rPh>
    <phoneticPr fontId="4"/>
  </si>
  <si>
    <t>：</t>
  </si>
  <si>
    <t>所在地</t>
    <rPh sb="0" eb="1">
      <t>トコロ</t>
    </rPh>
    <rPh sb="1" eb="2">
      <t>ザイ</t>
    </rPh>
    <rPh sb="2" eb="3">
      <t>チ</t>
    </rPh>
    <phoneticPr fontId="4"/>
  </si>
  <si>
    <t>氏名</t>
    <rPh sb="0" eb="1">
      <t>シ</t>
    </rPh>
    <rPh sb="1" eb="2">
      <t>メイ</t>
    </rPh>
    <phoneticPr fontId="4"/>
  </si>
  <si>
    <t>定期予防接種にかかる</t>
    <rPh sb="0" eb="2">
      <t>テイキ</t>
    </rPh>
    <rPh sb="2" eb="4">
      <t>ヨボウ</t>
    </rPh>
    <rPh sb="4" eb="6">
      <t>セッシュ</t>
    </rPh>
    <phoneticPr fontId="4" alignment="distributed"/>
  </si>
  <si>
    <t>月分</t>
    <rPh sb="0" eb="2">
      <t>ガツブン</t>
    </rPh>
    <phoneticPr fontId="4" alignment="distributed"/>
  </si>
  <si>
    <t>の委託料として、次のとおり請求します。</t>
    <rPh sb="1" eb="4">
      <t>イタクリョウ</t>
    </rPh>
    <rPh sb="8" eb="9">
      <t>ツギ</t>
    </rPh>
    <rPh sb="13" eb="15">
      <t>セイキュウ</t>
    </rPh>
    <phoneticPr fontId="4" alignment="distributed"/>
  </si>
  <si>
    <t>請求金額</t>
    <rPh sb="0" eb="2">
      <t>セイキュウ</t>
    </rPh>
    <rPh sb="2" eb="4">
      <t>キンガク</t>
    </rPh>
    <phoneticPr fontId="4"/>
  </si>
  <si>
    <t>円</t>
    <rPh sb="0" eb="1">
      <t>エン</t>
    </rPh>
    <phoneticPr fontId="4"/>
  </si>
  <si>
    <t>【 内　訳 】</t>
    <rPh sb="2" eb="3">
      <t>ウチ</t>
    </rPh>
    <rPh sb="4" eb="5">
      <t>ヤク</t>
    </rPh>
    <phoneticPr fontId="4"/>
  </si>
  <si>
    <t>種　類</t>
    <rPh sb="0" eb="1">
      <t>タネ</t>
    </rPh>
    <rPh sb="2" eb="3">
      <t>ルイ</t>
    </rPh>
    <phoneticPr fontId="4"/>
  </si>
  <si>
    <t>区　分</t>
    <rPh sb="0" eb="1">
      <t>ク</t>
    </rPh>
    <rPh sb="2" eb="3">
      <t>ブン</t>
    </rPh>
    <phoneticPr fontId="4"/>
  </si>
  <si>
    <t>件　数（人）　(A)</t>
    <rPh sb="0" eb="1">
      <t>ケン</t>
    </rPh>
    <rPh sb="2" eb="3">
      <t>カズ</t>
    </rPh>
    <rPh sb="4" eb="5">
      <t>ニン</t>
    </rPh>
    <phoneticPr fontId="4" alignment="distributed"/>
  </si>
  <si>
    <t>単　価　(B)</t>
    <rPh sb="0" eb="1">
      <t>タン</t>
    </rPh>
    <rPh sb="2" eb="3">
      <t>アタイ</t>
    </rPh>
    <phoneticPr fontId="4" alignment="distributed"/>
  </si>
  <si>
    <t>金　額　(A)×(B)</t>
    <rPh sb="0" eb="1">
      <t>コン</t>
    </rPh>
    <rPh sb="2" eb="3">
      <t>ガク</t>
    </rPh>
    <phoneticPr fontId="4" alignment="distributed"/>
  </si>
  <si>
    <t>四　種　混　合
（ＤＰＴ－ＩＰＶ）</t>
    <rPh sb="0" eb="1">
      <t>ヨン</t>
    </rPh>
    <rPh sb="2" eb="3">
      <t>シュ</t>
    </rPh>
    <rPh sb="4" eb="5">
      <t>コン</t>
    </rPh>
    <rPh sb="6" eb="7">
      <t>ゴウ</t>
    </rPh>
    <phoneticPr fontId="4"/>
  </si>
  <si>
    <t>三　種　混　合
（ＤＰＴ）</t>
    <rPh sb="0" eb="1">
      <t>サン</t>
    </rPh>
    <rPh sb="2" eb="3">
      <t>タネ</t>
    </rPh>
    <rPh sb="4" eb="5">
      <t>コン</t>
    </rPh>
    <rPh sb="6" eb="7">
      <t>ゴウ</t>
    </rPh>
    <phoneticPr fontId="4"/>
  </si>
  <si>
    <t>二　種　混　合　（ＤＴ）</t>
    <rPh sb="0" eb="1">
      <t>ニ</t>
    </rPh>
    <rPh sb="2" eb="3">
      <t>タネ</t>
    </rPh>
    <rPh sb="4" eb="5">
      <t>コン</t>
    </rPh>
    <rPh sb="6" eb="7">
      <t>ゴウ</t>
    </rPh>
    <phoneticPr fontId="4"/>
  </si>
  <si>
    <t>不 活 化 ポ リ オ</t>
    <rPh sb="0" eb="1">
      <t>フ</t>
    </rPh>
    <rPh sb="2" eb="3">
      <t>カツ</t>
    </rPh>
    <rPh sb="4" eb="5">
      <t>カ</t>
    </rPh>
    <phoneticPr fontId="4"/>
  </si>
  <si>
    <t>麻しん風しん混合
（ＭＲ）</t>
    <rPh sb="0" eb="1">
      <t>マ</t>
    </rPh>
    <rPh sb="3" eb="4">
      <t>フウ</t>
    </rPh>
    <rPh sb="6" eb="7">
      <t>コン</t>
    </rPh>
    <rPh sb="7" eb="8">
      <t>ゴウ</t>
    </rPh>
    <phoneticPr fontId="4"/>
  </si>
  <si>
    <t>第1期</t>
    <rPh sb="0" eb="1">
      <t>ダイ</t>
    </rPh>
    <rPh sb="2" eb="3">
      <t>キ</t>
    </rPh>
    <phoneticPr fontId="4" alignment="distributed"/>
  </si>
  <si>
    <t>麻　　し　　ん</t>
    <rPh sb="0" eb="1">
      <t>マ</t>
    </rPh>
    <phoneticPr fontId="4"/>
  </si>
  <si>
    <t>風　　し　　ん</t>
    <rPh sb="0" eb="1">
      <t>カゼ</t>
    </rPh>
    <phoneticPr fontId="4"/>
  </si>
  <si>
    <t>日　本　脳　炎</t>
    <rPh sb="0" eb="1">
      <t>ニチ</t>
    </rPh>
    <rPh sb="2" eb="3">
      <t>ホン</t>
    </rPh>
    <rPh sb="4" eb="5">
      <t>ノウ</t>
    </rPh>
    <rPh sb="6" eb="7">
      <t>エン</t>
    </rPh>
    <phoneticPr fontId="4"/>
  </si>
  <si>
    <t>結　核　（ＢＣＧ）</t>
    <rPh sb="0" eb="1">
      <t>ケッ</t>
    </rPh>
    <rPh sb="2" eb="3">
      <t>カク</t>
    </rPh>
    <phoneticPr fontId="4"/>
  </si>
  <si>
    <t>Ｈ ｉ ｂ 感 染 症</t>
    <rPh sb="6" eb="7">
      <t>カン</t>
    </rPh>
    <rPh sb="8" eb="9">
      <t>ソメ</t>
    </rPh>
    <rPh sb="10" eb="11">
      <t>ショウ</t>
    </rPh>
    <phoneticPr fontId="4"/>
  </si>
  <si>
    <t>小 児 用 肺 炎 球 菌</t>
    <rPh sb="0" eb="1">
      <t>ショウ</t>
    </rPh>
    <rPh sb="2" eb="3">
      <t>コ</t>
    </rPh>
    <rPh sb="4" eb="5">
      <t>ヨウ</t>
    </rPh>
    <rPh sb="6" eb="7">
      <t>ハイ</t>
    </rPh>
    <rPh sb="8" eb="9">
      <t>ホノオ</t>
    </rPh>
    <rPh sb="10" eb="11">
      <t>タマ</t>
    </rPh>
    <rPh sb="12" eb="13">
      <t>キン</t>
    </rPh>
    <phoneticPr fontId="4"/>
  </si>
  <si>
    <t>ヒトパピローマ
ウイルス感染症</t>
    <rPh sb="12" eb="15">
      <t>カンセンショウ</t>
    </rPh>
    <phoneticPr fontId="4"/>
  </si>
  <si>
    <t>水　痘</t>
    <rPh sb="0" eb="1">
      <t>ミズ</t>
    </rPh>
    <rPh sb="2" eb="3">
      <t>トウ</t>
    </rPh>
    <phoneticPr fontId="4"/>
  </si>
  <si>
    <t>Ｂ　型　肝　炎</t>
    <rPh sb="2" eb="3">
      <t>ガタ</t>
    </rPh>
    <rPh sb="4" eb="5">
      <t>キモ</t>
    </rPh>
    <rPh sb="6" eb="7">
      <t>ホノオ</t>
    </rPh>
    <phoneticPr fontId="4"/>
  </si>
  <si>
    <t>ロタウイルス感染症</t>
    <rPh sb="6" eb="9">
      <t>カンセンショウ</t>
    </rPh>
    <phoneticPr fontId="4"/>
  </si>
  <si>
    <t>インフルエンザ
（高齢者）</t>
  </si>
  <si>
    <t>実費徴収免除者</t>
    <rPh sb="0" eb="2">
      <t>ジッピ</t>
    </rPh>
    <rPh sb="2" eb="4">
      <t>チョウシュウ</t>
    </rPh>
    <rPh sb="4" eb="7">
      <t>メンジョシャ</t>
    </rPh>
    <phoneticPr fontId="4"/>
  </si>
  <si>
    <t>高齢者用肺炎球菌</t>
    <rPh sb="0" eb="3">
      <t>コウレイシャ</t>
    </rPh>
    <rPh sb="3" eb="4">
      <t>ヨウ</t>
    </rPh>
    <rPh sb="4" eb="6">
      <t>ハイエン</t>
    </rPh>
    <rPh sb="6" eb="8">
      <t>キュウキン</t>
    </rPh>
    <phoneticPr fontId="4"/>
  </si>
  <si>
    <t>予　　診　　料</t>
  </si>
  <si>
    <t>合　　　　　　　計</t>
    <rPh sb="0" eb="1">
      <t>ゴウ</t>
    </rPh>
    <rPh sb="8" eb="9">
      <t>ケイ</t>
    </rPh>
    <phoneticPr fontId="4"/>
  </si>
  <si>
    <t>摘　　　　　　要</t>
    <rPh sb="0" eb="1">
      <t>チャク</t>
    </rPh>
    <rPh sb="7" eb="8">
      <t>ヨウ</t>
    </rPh>
    <phoneticPr fontId="4"/>
  </si>
  <si>
    <t>注　意　事　項</t>
    <rPh sb="0" eb="1">
      <t>チュウ</t>
    </rPh>
    <rPh sb="2" eb="3">
      <t>イ</t>
    </rPh>
    <rPh sb="4" eb="5">
      <t>コト</t>
    </rPh>
    <rPh sb="6" eb="7">
      <t>コウ</t>
    </rPh>
    <phoneticPr fontId="4"/>
  </si>
  <si>
    <t>【 振 込 先 】</t>
    <rPh sb="2" eb="3">
      <t>ブルイ</t>
    </rPh>
    <rPh sb="4" eb="5">
      <t>コミ</t>
    </rPh>
    <rPh sb="6" eb="7">
      <t>サキ</t>
    </rPh>
    <phoneticPr fontId="4" alignment="distributed"/>
  </si>
  <si>
    <t xml:space="preserve"> 金 融 機 関 名</t>
    <rPh sb="1" eb="2">
      <t>カネ</t>
    </rPh>
    <rPh sb="3" eb="4">
      <t>ユウ</t>
    </rPh>
    <rPh sb="5" eb="6">
      <t>キ</t>
    </rPh>
    <rPh sb="7" eb="8">
      <t>セキ</t>
    </rPh>
    <rPh sb="9" eb="10">
      <t>メイ</t>
    </rPh>
    <phoneticPr fontId="4" alignment="distributed"/>
  </si>
  <si>
    <t>　</t>
  </si>
  <si>
    <t xml:space="preserve"> 本 ・ 支 店 名</t>
    <rPh sb="1" eb="2">
      <t>ホン</t>
    </rPh>
    <rPh sb="5" eb="6">
      <t>シ</t>
    </rPh>
    <rPh sb="7" eb="8">
      <t>ミセ</t>
    </rPh>
    <rPh sb="9" eb="10">
      <t>ナ</t>
    </rPh>
    <phoneticPr fontId="4" alignment="distributed"/>
  </si>
  <si>
    <t xml:space="preserve"> 預 金 種 別</t>
    <rPh sb="1" eb="2">
      <t>アズカリ</t>
    </rPh>
    <rPh sb="3" eb="4">
      <t>カネ</t>
    </rPh>
    <rPh sb="5" eb="6">
      <t>タネ</t>
    </rPh>
    <rPh sb="7" eb="8">
      <t>ベツ</t>
    </rPh>
    <phoneticPr fontId="4" alignment="distributed"/>
  </si>
  <si>
    <t xml:space="preserve"> 口 座 番 号</t>
    <rPh sb="1" eb="2">
      <t>クチ</t>
    </rPh>
    <rPh sb="3" eb="4">
      <t>ザ</t>
    </rPh>
    <rPh sb="5" eb="6">
      <t>バン</t>
    </rPh>
    <rPh sb="7" eb="8">
      <t>ゴウ</t>
    </rPh>
    <phoneticPr fontId="4" alignment="distributed"/>
  </si>
  <si>
    <t xml:space="preserve"> フ　リ　ガ　ナ</t>
  </si>
  <si>
    <t xml:space="preserve"> 口 座 名 義</t>
    <rPh sb="1" eb="2">
      <t>クチ</t>
    </rPh>
    <rPh sb="3" eb="4">
      <t>ザ</t>
    </rPh>
    <rPh sb="5" eb="6">
      <t>ナ</t>
    </rPh>
    <rPh sb="7" eb="8">
      <t>ギ</t>
    </rPh>
    <phoneticPr fontId="4" alignment="distributed"/>
  </si>
  <si>
    <t>◎</t>
  </si>
  <si>
    <t>添付書類</t>
  </si>
  <si>
    <t>予診票</t>
    <rPh sb="0" eb="3">
      <t>ヨシンヒョウ</t>
    </rPh>
    <phoneticPr fontId="4"/>
  </si>
  <si>
    <t>特記</t>
    <rPh sb="0" eb="2">
      <t>トッキ</t>
    </rPh>
    <phoneticPr fontId="4"/>
  </si>
  <si>
    <t>請求者の押印要否 及び 風しん第５期の請求方法は、各市町村担当課所に確認してください（上の注意事項</t>
    <rPh sb="9" eb="10">
      <t>オヨ</t>
    </rPh>
    <rPh sb="12" eb="13">
      <t>フウ</t>
    </rPh>
    <rPh sb="15" eb="16">
      <t>ダイ</t>
    </rPh>
    <rPh sb="17" eb="18">
      <t>キ</t>
    </rPh>
    <rPh sb="21" eb="23">
      <t>ホウホウ</t>
    </rPh>
    <rPh sb="25" eb="26">
      <t>カク</t>
    </rPh>
    <phoneticPr fontId="4"/>
  </si>
  <si>
    <t>に記載がある場合を除く）。</t>
    <rPh sb="6" eb="8">
      <t>バアイ</t>
    </rPh>
    <rPh sb="9" eb="10">
      <t>ノゾ</t>
    </rPh>
    <phoneticPr fontId="4"/>
  </si>
  <si>
    <t>市町村担当課所：</t>
    <rPh sb="0" eb="3">
      <t>シチョウソン</t>
    </rPh>
    <rPh sb="3" eb="5">
      <t>タントウ</t>
    </rPh>
    <rPh sb="5" eb="6">
      <t>カ</t>
    </rPh>
    <rPh sb="6" eb="7">
      <t>ショ</t>
    </rPh>
    <phoneticPr fontId="4"/>
  </si>
  <si>
    <t>電話：</t>
    <rPh sb="0" eb="2">
      <t>デンワ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</si>
</sst>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 e&quot;年&quot;\ m&quot;月 &quot;d&quot;日&quot;"/>
    <numFmt numFmtId="177" formatCode="#,##0;\ ;;"/>
    <numFmt numFmtId="178" formatCode="#,##0_ "/>
    <numFmt numFmtId="179" formatCode="#,##0_ ;;"/>
  </numFmts>
  <fonts count="17" x14ac:knownFonts="1">
    <font>
      <sz val="11"/>
      <name val="ＭＳ Ｐゴシック"/>
      <family val="3"/>
    </font>
    <font>
      <sz val="11"/>
      <name val="ＭＳ Ｐゴシック"/>
      <family val="3"/>
    </font>
    <font>
      <sz val="16"/>
      <name val="ＭＳ Ｐ明朝"/>
      <family val="1"/>
    </font>
    <font>
      <sz val="6"/>
      <name val="ＭＳ Ｐゴシック"/>
      <family val="3"/>
      <charset val="128"/>
    </font>
    <font>
      <sz val="6"/>
      <name val="ＭＳ Ｐゴシック"/>
      <family val="3"/>
    </font>
    <font>
      <sz val="12"/>
      <name val="ＭＳ Ｐ明朝"/>
      <family val="1"/>
    </font>
    <font>
      <b/>
      <sz val="12"/>
      <color indexed="10"/>
      <name val="メイリオ"/>
      <family val="3"/>
    </font>
    <font>
      <b/>
      <sz val="12"/>
      <name val="メイリオ"/>
      <family val="3"/>
    </font>
    <font>
      <sz val="11"/>
      <name val="ＭＳ Ｐ明朝"/>
      <family val="1"/>
    </font>
    <font>
      <b/>
      <sz val="12"/>
      <name val="ＭＳ Ｐ明朝"/>
      <family val="1"/>
    </font>
    <font>
      <b/>
      <sz val="16"/>
      <name val="ＭＳ Ｐ明朝"/>
      <family val="1"/>
    </font>
    <font>
      <b/>
      <sz val="11"/>
      <name val="ＭＳ Ｐ明朝"/>
      <family val="1"/>
    </font>
    <font>
      <sz val="13"/>
      <name val="ＭＳ Ｐ明朝"/>
      <family val="1"/>
    </font>
    <font>
      <sz val="10"/>
      <name val="ＭＳ Ｐ明朝"/>
      <family val="1"/>
    </font>
    <font>
      <sz val="9"/>
      <name val="ＭＳ Ｐ明朝"/>
      <family val="1"/>
    </font>
    <font>
      <sz val="10"/>
      <name val="MS UI Gothic"/>
      <family val="3"/>
    </font>
    <font>
      <sz val="12"/>
      <name val="MS UI Gothic"/>
      <family val="3"/>
    </font>
  </fonts>
  <fills count="6">
    <fill>
      <patternFill patternType="none"/>
    </fill>
    <fill>
      <patternFill patternType="gray125"/>
    </fill>
    <fill>
      <patternFill patternType="solid">
        <fgColor indexed="42"/>
        <bgColor indexed="64"/>
      </patternFill>
    </fill>
    <fill>
      <patternFill patternType="solid">
        <fgColor indexed="27"/>
        <bgColor indexed="64"/>
      </patternFill>
    </fill>
    <fill>
      <patternFill patternType="solid">
        <fgColor indexed="45"/>
        <bgColor indexed="64"/>
      </patternFill>
    </fill>
    <fill>
      <patternFill patternType="solid">
        <fgColor indexed="43"/>
        <bgColor indexed="64"/>
      </patternFill>
    </fill>
  </fills>
  <borders count="3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style="thin">
        <color indexed="64"/>
      </right>
      <top style="thin">
        <color indexed="64"/>
      </top>
      <bottom style="hair">
        <color auto="1"/>
      </bottom>
      <diagonal/>
    </border>
    <border>
      <left style="thin">
        <color indexed="64"/>
      </left>
      <right/>
      <top/>
      <bottom style="hair">
        <color auto="1"/>
      </bottom>
      <diagonal/>
    </border>
    <border>
      <left/>
      <right/>
      <top/>
      <bottom style="hair">
        <color auto="1"/>
      </bottom>
      <diagonal/>
    </border>
    <border>
      <left/>
      <right style="thin">
        <color indexed="64"/>
      </right>
      <top/>
      <bottom style="hair">
        <color auto="1"/>
      </bottom>
      <diagonal/>
    </border>
    <border>
      <left style="thin">
        <color indexed="64"/>
      </left>
      <right style="thin">
        <color indexed="64"/>
      </right>
      <top/>
      <bottom style="hair">
        <color auto="1"/>
      </bottom>
      <diagonal/>
    </border>
    <border>
      <left style="thin">
        <color indexed="64"/>
      </left>
      <right style="thin">
        <color indexed="64"/>
      </right>
      <top/>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style="thin">
        <color indexed="64"/>
      </right>
      <top style="hair">
        <color auto="1"/>
      </top>
      <bottom style="thin">
        <color indexed="64"/>
      </bottom>
      <diagonal/>
    </border>
    <border>
      <left style="thin">
        <color indexed="64"/>
      </left>
      <right/>
      <top style="hair">
        <color auto="1"/>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s>
  <cellStyleXfs count="2">
    <xf numFmtId="0" fontId="0" fillId="0" borderId="0"/>
    <xf numFmtId="38" fontId="1" fillId="0" borderId="0" applyFont="0" applyFill="0" applyBorder="0" applyAlignment="0" applyProtection="0"/>
  </cellStyleXfs>
  <cellXfs count="197">
    <xf numFmtId="0" fontId="0" fillId="0" borderId="0" xfId="0"/>
    <xf numFmtId="0" fontId="5" fillId="0" borderId="0" xfId="0" applyFont="1" applyAlignment="1">
      <alignment vertical="center"/>
    </xf>
    <xf numFmtId="0" fontId="6" fillId="0" borderId="0" xfId="0" applyFont="1" applyAlignment="1">
      <alignment vertical="center"/>
    </xf>
    <xf numFmtId="176" fontId="5" fillId="0" borderId="0" xfId="0" applyNumberFormat="1"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0" fillId="0" borderId="0" xfId="0" applyAlignment="1">
      <alignment vertical="center" shrinkToFit="1"/>
    </xf>
    <xf numFmtId="0" fontId="7" fillId="0" borderId="0" xfId="0" applyFont="1" applyAlignment="1">
      <alignment vertical="center"/>
    </xf>
    <xf numFmtId="0" fontId="5" fillId="0" borderId="0" xfId="0" applyFont="1" applyAlignment="1">
      <alignment vertical="center" shrinkToFit="1"/>
    </xf>
    <xf numFmtId="0" fontId="5" fillId="0" borderId="0" xfId="0" applyFont="1" applyAlignment="1">
      <alignment horizontal="distributed" vertical="center"/>
    </xf>
    <xf numFmtId="0" fontId="5" fillId="2" borderId="0" xfId="0" applyFont="1" applyFill="1" applyAlignment="1" applyProtection="1">
      <alignment horizontal="left" vertical="center" shrinkToFit="1"/>
      <protection locked="0"/>
    </xf>
    <xf numFmtId="0" fontId="5" fillId="0" borderId="0" xfId="0" applyFont="1" applyAlignment="1">
      <alignment horizontal="right" vertical="center"/>
    </xf>
    <xf numFmtId="0" fontId="8" fillId="0" borderId="0" xfId="0" applyFont="1" applyAlignment="1">
      <alignment vertical="center"/>
    </xf>
    <xf numFmtId="0" fontId="11" fillId="0" borderId="0" xfId="0" applyFont="1" applyAlignment="1">
      <alignment vertical="center"/>
    </xf>
    <xf numFmtId="0" fontId="8" fillId="0" borderId="0" xfId="0" applyFont="1" applyAlignment="1">
      <alignment horizontal="center" vertical="center"/>
    </xf>
    <xf numFmtId="0" fontId="13" fillId="0" borderId="0" xfId="0" applyFont="1" applyAlignment="1">
      <alignment horizontal="center" vertical="center"/>
    </xf>
    <xf numFmtId="178" fontId="8" fillId="0" borderId="0" xfId="0" applyNumberFormat="1" applyFont="1" applyAlignment="1">
      <alignment vertical="center"/>
    </xf>
    <xf numFmtId="0" fontId="0" fillId="0" borderId="0" xfId="0" applyAlignment="1">
      <alignment vertical="center"/>
    </xf>
    <xf numFmtId="0" fontId="13"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vertical="center"/>
    </xf>
    <xf numFmtId="0" fontId="16" fillId="0" borderId="0" xfId="0" applyFont="1" applyAlignment="1">
      <alignment vertical="center"/>
    </xf>
    <xf numFmtId="0" fontId="8" fillId="0" borderId="10" xfId="0" applyFont="1" applyBorder="1" applyAlignment="1">
      <alignment horizontal="center" vertical="top"/>
    </xf>
    <xf numFmtId="0" fontId="8" fillId="0" borderId="1" xfId="0" applyFont="1" applyBorder="1" applyAlignment="1">
      <alignment horizontal="center" vertical="top"/>
    </xf>
    <xf numFmtId="0" fontId="8" fillId="0" borderId="11" xfId="0" applyFont="1" applyBorder="1" applyAlignment="1">
      <alignment horizontal="center" vertical="top"/>
    </xf>
    <xf numFmtId="0" fontId="8" fillId="5" borderId="1" xfId="0" applyFont="1" applyFill="1" applyBorder="1" applyAlignment="1" applyProtection="1">
      <alignment vertical="center"/>
      <protection locked="0"/>
    </xf>
    <xf numFmtId="0" fontId="8" fillId="5" borderId="11" xfId="0" applyFont="1" applyFill="1" applyBorder="1" applyAlignment="1" applyProtection="1">
      <alignment vertical="center"/>
      <protection locked="0"/>
    </xf>
    <xf numFmtId="0" fontId="15" fillId="0" borderId="0" xfId="0" applyFont="1" applyAlignment="1">
      <alignment horizontal="distributed" vertical="center"/>
    </xf>
    <xf numFmtId="0" fontId="15" fillId="0" borderId="0" xfId="0" applyFont="1" applyAlignment="1">
      <alignment horizontal="right" vertical="center"/>
    </xf>
    <xf numFmtId="0" fontId="15" fillId="0" borderId="1" xfId="0" applyFont="1" applyBorder="1" applyAlignment="1">
      <alignment horizontal="center" vertical="center" shrinkToFi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5" borderId="3" xfId="0" applyFont="1" applyFill="1" applyBorder="1" applyAlignment="1" applyProtection="1">
      <alignment horizontal="center" vertical="center"/>
      <protection locked="0"/>
    </xf>
    <xf numFmtId="0" fontId="8" fillId="5" borderId="4" xfId="0" applyFont="1" applyFill="1" applyBorder="1" applyAlignment="1" applyProtection="1">
      <alignment horizontal="center" vertical="center"/>
      <protection locked="0"/>
    </xf>
    <xf numFmtId="0" fontId="12" fillId="5" borderId="3" xfId="0" applyFont="1" applyFill="1" applyBorder="1" applyAlignment="1" applyProtection="1">
      <alignment horizontal="center" vertical="center"/>
      <protection locked="0"/>
    </xf>
    <xf numFmtId="0" fontId="12" fillId="5" borderId="4" xfId="0" applyFont="1" applyFill="1" applyBorder="1" applyAlignment="1" applyProtection="1">
      <alignment horizontal="center" vertical="center"/>
      <protection locked="0"/>
    </xf>
    <xf numFmtId="0" fontId="14" fillId="0" borderId="6" xfId="0" applyFont="1" applyBorder="1" applyAlignment="1">
      <alignment horizontal="center"/>
    </xf>
    <xf numFmtId="0" fontId="14" fillId="0" borderId="7" xfId="0" applyFont="1" applyBorder="1" applyAlignment="1">
      <alignment horizontal="center"/>
    </xf>
    <xf numFmtId="0" fontId="14" fillId="0" borderId="8" xfId="0" applyFont="1" applyBorder="1" applyAlignment="1">
      <alignment horizontal="center"/>
    </xf>
    <xf numFmtId="0" fontId="14" fillId="5" borderId="7" xfId="0" applyFont="1" applyFill="1" applyBorder="1" applyAlignment="1" applyProtection="1">
      <alignment vertical="center"/>
      <protection locked="0"/>
    </xf>
    <xf numFmtId="0" fontId="14" fillId="5" borderId="8" xfId="0" applyFont="1" applyFill="1" applyBorder="1" applyAlignment="1" applyProtection="1">
      <alignment vertical="center"/>
      <protection locked="0"/>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4" fillId="0" borderId="3" xfId="0" applyFont="1" applyBorder="1" applyAlignment="1">
      <alignment vertical="center" shrinkToFit="1"/>
    </xf>
    <xf numFmtId="0" fontId="14" fillId="0" borderId="4" xfId="0" applyFont="1" applyBorder="1" applyAlignment="1">
      <alignment vertical="center" shrinkToFit="1"/>
    </xf>
    <xf numFmtId="0" fontId="14" fillId="0" borderId="2" xfId="0" applyFont="1" applyBorder="1" applyAlignment="1">
      <alignment vertical="center" wrapText="1" shrinkToFit="1"/>
    </xf>
    <xf numFmtId="0" fontId="14" fillId="0" borderId="3" xfId="0" applyFont="1" applyBorder="1" applyAlignment="1">
      <alignment vertical="center" wrapText="1" shrinkToFit="1"/>
    </xf>
    <xf numFmtId="0" fontId="14" fillId="0" borderId="4" xfId="0" applyFont="1" applyBorder="1" applyAlignment="1">
      <alignment vertical="center" wrapText="1" shrinkToFit="1"/>
    </xf>
    <xf numFmtId="0" fontId="8" fillId="5" borderId="2" xfId="0" applyFont="1" applyFill="1" applyBorder="1" applyAlignment="1" applyProtection="1">
      <alignment horizontal="center" vertical="center" shrinkToFit="1"/>
      <protection locked="0"/>
    </xf>
    <xf numFmtId="0" fontId="0" fillId="5" borderId="3" xfId="0" applyFill="1" applyBorder="1" applyAlignment="1">
      <alignment horizontal="center" shrinkToFit="1"/>
    </xf>
    <xf numFmtId="0" fontId="0" fillId="5" borderId="4" xfId="0" applyFill="1" applyBorder="1" applyAlignment="1">
      <alignment horizontal="center" shrinkToFit="1"/>
    </xf>
    <xf numFmtId="0" fontId="8" fillId="5" borderId="3"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shrinkToFit="1"/>
      <protection locked="0"/>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179" fontId="12" fillId="0" borderId="12" xfId="0" applyNumberFormat="1" applyFont="1" applyBorder="1" applyAlignment="1">
      <alignment vertical="center"/>
    </xf>
    <xf numFmtId="179" fontId="12" fillId="0" borderId="10" xfId="0" applyNumberFormat="1" applyFont="1" applyBorder="1" applyAlignment="1">
      <alignment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179" fontId="12" fillId="0" borderId="38" xfId="1" applyNumberFormat="1" applyFont="1" applyBorder="1" applyAlignment="1" applyProtection="1">
      <alignment vertical="center"/>
    </xf>
    <xf numFmtId="179" fontId="12" fillId="0" borderId="32" xfId="1" applyNumberFormat="1" applyFont="1" applyBorder="1" applyAlignment="1" applyProtection="1">
      <alignment vertical="center"/>
    </xf>
    <xf numFmtId="178" fontId="12" fillId="2" borderId="31" xfId="0" applyNumberFormat="1" applyFont="1" applyFill="1" applyBorder="1" applyAlignment="1" applyProtection="1">
      <alignment vertical="center"/>
      <protection locked="0"/>
    </xf>
    <xf numFmtId="178" fontId="12" fillId="2" borderId="28" xfId="0" applyNumberFormat="1" applyFont="1" applyFill="1" applyBorder="1" applyAlignment="1" applyProtection="1">
      <alignment vertical="center"/>
      <protection locked="0"/>
    </xf>
    <xf numFmtId="0" fontId="8" fillId="0" borderId="30" xfId="0" applyFont="1" applyBorder="1" applyAlignment="1">
      <alignment horizontal="center" vertical="center"/>
    </xf>
    <xf numFmtId="0" fontId="8" fillId="0" borderId="31" xfId="0" applyFont="1" applyBorder="1" applyAlignment="1">
      <alignment horizontal="center" vertical="center"/>
    </xf>
    <xf numFmtId="179" fontId="12" fillId="0" borderId="28" xfId="0" applyNumberFormat="1" applyFont="1" applyBorder="1" applyAlignment="1">
      <alignment vertical="center"/>
    </xf>
    <xf numFmtId="179" fontId="12" fillId="0" borderId="29" xfId="0" applyNumberFormat="1" applyFont="1" applyBorder="1" applyAlignment="1">
      <alignment vertical="center"/>
    </xf>
    <xf numFmtId="0" fontId="8" fillId="0" borderId="29" xfId="0" applyFont="1" applyBorder="1" applyAlignment="1">
      <alignment horizontal="center" vertical="center"/>
    </xf>
    <xf numFmtId="179" fontId="12" fillId="0" borderId="31" xfId="0" applyNumberFormat="1" applyFont="1" applyBorder="1" applyAlignment="1">
      <alignment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6" xfId="0" applyFont="1" applyBorder="1" applyAlignment="1">
      <alignment horizontal="left" vertical="center" wrapText="1" indent="1"/>
    </xf>
    <xf numFmtId="0" fontId="0" fillId="0" borderId="7" xfId="0" applyBorder="1" applyAlignment="1">
      <alignment horizontal="left" vertical="center" indent="1"/>
    </xf>
    <xf numFmtId="0" fontId="0" fillId="0" borderId="8" xfId="0" applyBorder="1" applyAlignment="1">
      <alignment horizontal="left" vertical="center" indent="1"/>
    </xf>
    <xf numFmtId="0" fontId="0" fillId="0" borderId="10" xfId="0" applyBorder="1" applyAlignment="1">
      <alignment horizontal="left" vertical="center" indent="1"/>
    </xf>
    <xf numFmtId="0" fontId="0" fillId="0" borderId="1" xfId="0" applyBorder="1" applyAlignment="1">
      <alignment horizontal="left" vertical="center" indent="1"/>
    </xf>
    <xf numFmtId="0" fontId="0" fillId="0" borderId="11" xfId="0" applyBorder="1" applyAlignment="1">
      <alignment horizontal="left" vertical="center" indent="1"/>
    </xf>
    <xf numFmtId="0" fontId="8" fillId="0" borderId="15"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178" fontId="12" fillId="2" borderId="18" xfId="0" applyNumberFormat="1" applyFont="1" applyFill="1" applyBorder="1" applyAlignment="1" applyProtection="1">
      <alignment vertical="center"/>
      <protection locked="0"/>
    </xf>
    <xf numFmtId="178" fontId="12" fillId="2" borderId="15" xfId="0" applyNumberFormat="1" applyFont="1" applyFill="1" applyBorder="1" applyAlignment="1" applyProtection="1">
      <alignment vertical="center"/>
      <protection locked="0"/>
    </xf>
    <xf numFmtId="0" fontId="8" fillId="0" borderId="17" xfId="0" applyFont="1" applyBorder="1" applyAlignment="1">
      <alignment horizontal="center" vertical="center"/>
    </xf>
    <xf numFmtId="0" fontId="8" fillId="0" borderId="18" xfId="0" applyFont="1" applyBorder="1" applyAlignment="1">
      <alignment horizontal="center" vertical="center"/>
    </xf>
    <xf numFmtId="179" fontId="12" fillId="0" borderId="15" xfId="0" applyNumberFormat="1" applyFont="1" applyBorder="1" applyAlignment="1">
      <alignment vertical="center"/>
    </xf>
    <xf numFmtId="179" fontId="12" fillId="0" borderId="16" xfId="0" applyNumberFormat="1" applyFont="1" applyBorder="1" applyAlignment="1">
      <alignment vertical="center"/>
    </xf>
    <xf numFmtId="179" fontId="12" fillId="0" borderId="18" xfId="0" applyNumberFormat="1" applyFont="1" applyBorder="1" applyAlignment="1">
      <alignment vertical="center"/>
    </xf>
    <xf numFmtId="0" fontId="8" fillId="0" borderId="28" xfId="0" applyFont="1" applyBorder="1" applyAlignment="1">
      <alignment horizontal="center" vertical="center" shrinkToFit="1"/>
    </xf>
    <xf numFmtId="0" fontId="8" fillId="0" borderId="29" xfId="0" applyFont="1" applyBorder="1" applyAlignment="1">
      <alignment horizontal="center" vertical="center" shrinkToFit="1"/>
    </xf>
    <xf numFmtId="0" fontId="8" fillId="0" borderId="30"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25" xfId="0" applyFont="1" applyBorder="1" applyAlignment="1">
      <alignment horizontal="center" vertical="center" shrinkToFit="1"/>
    </xf>
    <xf numFmtId="178" fontId="12" fillId="2" borderId="26" xfId="0" applyNumberFormat="1" applyFont="1" applyFill="1" applyBorder="1" applyAlignment="1" applyProtection="1">
      <alignment vertical="center"/>
      <protection locked="0"/>
    </xf>
    <xf numFmtId="178" fontId="12" fillId="2" borderId="27" xfId="0" applyNumberFormat="1" applyFont="1" applyFill="1" applyBorder="1" applyAlignment="1" applyProtection="1">
      <alignment vertical="center"/>
      <protection locked="0"/>
    </xf>
    <xf numFmtId="179" fontId="12" fillId="0" borderId="27" xfId="0" applyNumberFormat="1" applyFont="1" applyBorder="1" applyAlignment="1">
      <alignment vertical="center"/>
    </xf>
    <xf numFmtId="179" fontId="12" fillId="0" borderId="24" xfId="0" applyNumberFormat="1" applyFont="1" applyBorder="1" applyAlignment="1">
      <alignment vertical="center"/>
    </xf>
    <xf numFmtId="179" fontId="12" fillId="0" borderId="26" xfId="0" applyNumberFormat="1" applyFont="1" applyBorder="1" applyAlignment="1">
      <alignment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3" xfId="0" applyFont="1" applyBorder="1" applyAlignment="1">
      <alignment horizontal="center" vertical="center" shrinkToFit="1"/>
    </xf>
    <xf numFmtId="0" fontId="8" fillId="0" borderId="0" xfId="0" applyFont="1" applyAlignment="1">
      <alignment horizontal="center" vertical="center" shrinkToFit="1"/>
    </xf>
    <xf numFmtId="0" fontId="8" fillId="0" borderId="14" xfId="0" applyFont="1" applyBorder="1" applyAlignment="1">
      <alignment horizontal="center" vertical="center" shrinkToFit="1"/>
    </xf>
    <xf numFmtId="178" fontId="12" fillId="2" borderId="23" xfId="0" applyNumberFormat="1" applyFont="1" applyFill="1" applyBorder="1" applyAlignment="1" applyProtection="1">
      <alignment vertical="center"/>
      <protection locked="0"/>
    </xf>
    <xf numFmtId="178" fontId="12" fillId="2" borderId="13" xfId="0" applyNumberFormat="1" applyFont="1" applyFill="1" applyBorder="1" applyAlignment="1" applyProtection="1">
      <alignment vertical="center"/>
      <protection locked="0"/>
    </xf>
    <xf numFmtId="0" fontId="8" fillId="0" borderId="14" xfId="0" applyFont="1" applyBorder="1" applyAlignment="1">
      <alignment horizontal="center" vertical="center"/>
    </xf>
    <xf numFmtId="0" fontId="8" fillId="0" borderId="23" xfId="0" applyFont="1" applyBorder="1" applyAlignment="1">
      <alignment horizontal="center" vertical="center"/>
    </xf>
    <xf numFmtId="179" fontId="12" fillId="0" borderId="13" xfId="0" applyNumberFormat="1" applyFont="1" applyBorder="1" applyAlignment="1">
      <alignment vertical="center"/>
    </xf>
    <xf numFmtId="179" fontId="12" fillId="0" borderId="0" xfId="0" applyNumberFormat="1" applyFont="1" applyAlignment="1">
      <alignment vertical="center"/>
    </xf>
    <xf numFmtId="179" fontId="12" fillId="0" borderId="23" xfId="0" applyNumberFormat="1" applyFont="1" applyBorder="1" applyAlignment="1">
      <alignment vertical="center"/>
    </xf>
    <xf numFmtId="0" fontId="8" fillId="0" borderId="6" xfId="0" applyFont="1" applyBorder="1" applyAlignment="1">
      <alignment horizontal="left" vertical="center" indent="1" shrinkToFit="1"/>
    </xf>
    <xf numFmtId="0" fontId="8" fillId="0" borderId="7" xfId="0" applyFont="1" applyBorder="1" applyAlignment="1">
      <alignment horizontal="left" vertical="center" indent="1" shrinkToFit="1"/>
    </xf>
    <xf numFmtId="0" fontId="8" fillId="0" borderId="8" xfId="0" applyFont="1" applyBorder="1" applyAlignment="1">
      <alignment horizontal="left" vertical="center" indent="1" shrinkToFit="1"/>
    </xf>
    <xf numFmtId="0" fontId="8" fillId="0" borderId="13" xfId="0" applyFont="1" applyBorder="1" applyAlignment="1">
      <alignment horizontal="left" vertical="center" indent="1" shrinkToFit="1"/>
    </xf>
    <xf numFmtId="0" fontId="8" fillId="0" borderId="0" xfId="0" applyFont="1" applyAlignment="1">
      <alignment horizontal="left" vertical="center" indent="1" shrinkToFit="1"/>
    </xf>
    <xf numFmtId="0" fontId="8" fillId="0" borderId="14" xfId="0" applyFont="1" applyBorder="1" applyAlignment="1">
      <alignment horizontal="left" vertical="center" indent="1" shrinkToFit="1"/>
    </xf>
    <xf numFmtId="0" fontId="8" fillId="0" borderId="10" xfId="0" applyFont="1" applyBorder="1" applyAlignment="1">
      <alignment horizontal="left" vertical="center" indent="1" shrinkToFit="1"/>
    </xf>
    <xf numFmtId="0" fontId="8" fillId="0" borderId="1" xfId="0" applyFont="1" applyBorder="1" applyAlignment="1">
      <alignment horizontal="left" vertical="center" indent="1" shrinkToFit="1"/>
    </xf>
    <xf numFmtId="0" fontId="8" fillId="0" borderId="11" xfId="0" applyFont="1" applyBorder="1" applyAlignment="1">
      <alignment horizontal="left" vertical="center" indent="1"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178" fontId="12" fillId="2" borderId="6" xfId="0" applyNumberFormat="1" applyFont="1" applyFill="1" applyBorder="1" applyAlignment="1" applyProtection="1">
      <alignment vertical="center"/>
      <protection locked="0"/>
    </xf>
    <xf numFmtId="178" fontId="12" fillId="2" borderId="7" xfId="0" applyNumberFormat="1" applyFont="1" applyFill="1" applyBorder="1" applyAlignment="1" applyProtection="1">
      <alignment vertical="center"/>
      <protection locked="0"/>
    </xf>
    <xf numFmtId="179" fontId="12" fillId="2" borderId="6" xfId="0" applyNumberFormat="1" applyFont="1" applyFill="1" applyBorder="1" applyAlignment="1" applyProtection="1">
      <alignment vertical="center"/>
      <protection locked="0"/>
    </xf>
    <xf numFmtId="179" fontId="12" fillId="2" borderId="7" xfId="0" applyNumberFormat="1" applyFont="1" applyFill="1" applyBorder="1" applyAlignment="1" applyProtection="1">
      <alignment vertical="center"/>
      <protection locked="0"/>
    </xf>
    <xf numFmtId="179" fontId="12" fillId="0" borderId="6" xfId="0" applyNumberFormat="1" applyFont="1" applyBorder="1" applyAlignment="1">
      <alignment vertical="center"/>
    </xf>
    <xf numFmtId="179" fontId="12" fillId="0" borderId="7" xfId="0" applyNumberFormat="1" applyFont="1" applyBorder="1" applyAlignment="1">
      <alignment vertical="center"/>
    </xf>
    <xf numFmtId="0" fontId="8" fillId="0" borderId="20" xfId="0" applyFont="1" applyBorder="1" applyAlignment="1">
      <alignment horizontal="center" vertical="center" shrinkToFit="1"/>
    </xf>
    <xf numFmtId="0" fontId="8" fillId="0" borderId="21" xfId="0" applyFont="1" applyBorder="1" applyAlignment="1">
      <alignment horizontal="center" vertical="center" shrinkToFit="1"/>
    </xf>
    <xf numFmtId="178" fontId="12" fillId="2" borderId="22" xfId="0" applyNumberFormat="1" applyFont="1" applyFill="1" applyBorder="1" applyAlignment="1" applyProtection="1">
      <alignment vertical="center"/>
      <protection locked="0"/>
    </xf>
    <xf numFmtId="178" fontId="12" fillId="2" borderId="19" xfId="0" applyNumberFormat="1" applyFont="1" applyFill="1" applyBorder="1" applyAlignment="1" applyProtection="1">
      <alignment vertical="center"/>
      <protection locked="0"/>
    </xf>
    <xf numFmtId="0" fontId="8" fillId="0" borderId="21" xfId="0" applyFont="1" applyBorder="1" applyAlignment="1">
      <alignment horizontal="center" vertical="center"/>
    </xf>
    <xf numFmtId="0" fontId="8" fillId="0" borderId="22" xfId="0" applyFont="1" applyBorder="1" applyAlignment="1">
      <alignment horizontal="center" vertical="center"/>
    </xf>
    <xf numFmtId="179" fontId="12" fillId="0" borderId="19" xfId="0" applyNumberFormat="1" applyFont="1" applyBorder="1" applyAlignment="1">
      <alignment vertical="center"/>
    </xf>
    <xf numFmtId="179" fontId="12" fillId="0" borderId="20" xfId="0" applyNumberFormat="1" applyFont="1" applyBorder="1" applyAlignment="1">
      <alignment vertical="center"/>
    </xf>
    <xf numFmtId="179" fontId="12" fillId="0" borderId="22" xfId="0" applyNumberFormat="1" applyFont="1" applyBorder="1" applyAlignment="1">
      <alignment vertical="center"/>
    </xf>
    <xf numFmtId="0" fontId="8" fillId="0" borderId="7" xfId="0" applyFont="1" applyBorder="1" applyAlignment="1">
      <alignment horizontal="left" vertical="center" wrapText="1" indent="1"/>
    </xf>
    <xf numFmtId="0" fontId="8" fillId="0" borderId="8" xfId="0" applyFont="1" applyBorder="1" applyAlignment="1">
      <alignment horizontal="left" vertical="center" wrapText="1" indent="1"/>
    </xf>
    <xf numFmtId="0" fontId="8" fillId="0" borderId="13" xfId="0" applyFont="1" applyBorder="1" applyAlignment="1">
      <alignment horizontal="left" vertical="center" wrapText="1" indent="1"/>
    </xf>
    <xf numFmtId="0" fontId="8" fillId="0" borderId="0" xfId="0" applyFont="1" applyAlignment="1">
      <alignment horizontal="left" vertical="center" wrapText="1" indent="1"/>
    </xf>
    <xf numFmtId="0" fontId="8" fillId="0" borderId="14" xfId="0" applyFont="1" applyBorder="1" applyAlignment="1">
      <alignment horizontal="left" vertical="center" wrapText="1" indent="1"/>
    </xf>
    <xf numFmtId="0" fontId="8" fillId="0" borderId="10" xfId="0" applyFont="1" applyBorder="1" applyAlignment="1">
      <alignment horizontal="left" vertical="center" wrapText="1" indent="1"/>
    </xf>
    <xf numFmtId="0" fontId="8" fillId="0" borderId="1" xfId="0" applyFont="1" applyBorder="1" applyAlignment="1">
      <alignment horizontal="left" vertical="center" wrapText="1" indent="1"/>
    </xf>
    <xf numFmtId="0" fontId="8" fillId="0" borderId="11" xfId="0" applyFont="1" applyBorder="1" applyAlignment="1">
      <alignment horizontal="left" vertical="center" wrapText="1" indent="1"/>
    </xf>
    <xf numFmtId="0" fontId="8" fillId="0" borderId="1" xfId="0" applyFont="1" applyBorder="1" applyAlignment="1">
      <alignment horizontal="center" vertical="center" shrinkToFit="1"/>
    </xf>
    <xf numFmtId="0" fontId="8" fillId="0" borderId="11" xfId="0" applyFont="1" applyBorder="1" applyAlignment="1">
      <alignment horizontal="center" vertical="center" shrinkToFit="1"/>
    </xf>
    <xf numFmtId="178" fontId="12" fillId="2" borderId="12" xfId="0" applyNumberFormat="1" applyFont="1" applyFill="1" applyBorder="1" applyAlignment="1" applyProtection="1">
      <alignment vertical="center"/>
      <protection locked="0"/>
    </xf>
    <xf numFmtId="178" fontId="12" fillId="2" borderId="10" xfId="0" applyNumberFormat="1" applyFont="1" applyFill="1" applyBorder="1" applyAlignment="1" applyProtection="1">
      <alignment vertical="center"/>
      <protection locked="0"/>
    </xf>
    <xf numFmtId="179" fontId="12" fillId="0" borderId="1" xfId="0" applyNumberFormat="1" applyFont="1" applyBorder="1" applyAlignment="1">
      <alignment vertical="center"/>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178" fontId="12" fillId="2" borderId="5" xfId="0" applyNumberFormat="1" applyFont="1" applyFill="1" applyBorder="1" applyAlignment="1" applyProtection="1">
      <alignment vertical="center"/>
      <protection locked="0"/>
    </xf>
    <xf numFmtId="178" fontId="12" fillId="2" borderId="2" xfId="0" applyNumberFormat="1" applyFont="1" applyFill="1" applyBorder="1" applyAlignment="1" applyProtection="1">
      <alignment vertical="center"/>
      <protection locked="0"/>
    </xf>
    <xf numFmtId="179" fontId="12" fillId="0" borderId="2" xfId="0" applyNumberFormat="1" applyFont="1" applyBorder="1" applyAlignment="1">
      <alignment vertical="center"/>
    </xf>
    <xf numFmtId="179" fontId="12" fillId="0" borderId="3" xfId="0" applyNumberFormat="1" applyFont="1" applyBorder="1" applyAlignment="1">
      <alignment vertical="center"/>
    </xf>
    <xf numFmtId="179" fontId="12" fillId="0" borderId="5" xfId="0" applyNumberFormat="1" applyFont="1" applyBorder="1" applyAlignment="1">
      <alignment vertical="center"/>
    </xf>
    <xf numFmtId="0" fontId="8" fillId="0" borderId="2" xfId="0" applyFont="1" applyBorder="1" applyAlignment="1">
      <alignment horizontal="left" vertical="center" indent="1"/>
    </xf>
    <xf numFmtId="0" fontId="8" fillId="0" borderId="3" xfId="0" applyFont="1" applyBorder="1" applyAlignment="1">
      <alignment horizontal="left" vertical="center" indent="1"/>
    </xf>
    <xf numFmtId="0" fontId="8" fillId="0" borderId="4" xfId="0" applyFont="1" applyBorder="1" applyAlignment="1">
      <alignment horizontal="left" vertical="center" indent="1"/>
    </xf>
    <xf numFmtId="0" fontId="8" fillId="0" borderId="10" xfId="0" applyFont="1" applyBorder="1" applyAlignment="1">
      <alignment horizontal="left" vertical="center" indent="1"/>
    </xf>
    <xf numFmtId="0" fontId="8" fillId="0" borderId="1" xfId="0" applyFont="1" applyBorder="1" applyAlignment="1">
      <alignment horizontal="left" vertical="center" indent="1"/>
    </xf>
    <xf numFmtId="0" fontId="8" fillId="0" borderId="11" xfId="0" applyFont="1" applyBorder="1" applyAlignment="1">
      <alignment horizontal="left" vertical="center" indent="1"/>
    </xf>
    <xf numFmtId="178" fontId="12" fillId="2" borderId="1" xfId="0" applyNumberFormat="1" applyFont="1" applyFill="1" applyBorder="1" applyAlignment="1" applyProtection="1">
      <alignment vertical="center"/>
      <protection locked="0"/>
    </xf>
    <xf numFmtId="178" fontId="12" fillId="2" borderId="20" xfId="0" applyNumberFormat="1" applyFont="1" applyFill="1" applyBorder="1" applyAlignment="1" applyProtection="1">
      <alignment vertical="center"/>
      <protection locked="0"/>
    </xf>
    <xf numFmtId="0" fontId="8" fillId="0" borderId="5" xfId="0" applyFont="1" applyBorder="1" applyAlignment="1">
      <alignment horizontal="left" vertical="center" wrapText="1" indent="1"/>
    </xf>
    <xf numFmtId="0" fontId="8" fillId="0" borderId="15" xfId="0" applyFont="1" applyBorder="1" applyAlignment="1">
      <alignment horizontal="left" vertical="center" indent="1"/>
    </xf>
    <xf numFmtId="0" fontId="8" fillId="0" borderId="16" xfId="0" applyFont="1" applyBorder="1" applyAlignment="1">
      <alignment horizontal="left" vertical="center" indent="1"/>
    </xf>
    <xf numFmtId="0" fontId="8" fillId="0" borderId="17" xfId="0" applyFont="1" applyBorder="1" applyAlignment="1">
      <alignment horizontal="left" vertical="center" indent="1"/>
    </xf>
    <xf numFmtId="0" fontId="8" fillId="0" borderId="19" xfId="0" applyFont="1" applyBorder="1" applyAlignment="1">
      <alignment horizontal="left" vertical="center" indent="1"/>
    </xf>
    <xf numFmtId="0" fontId="8" fillId="0" borderId="20" xfId="0" applyFont="1" applyBorder="1" applyAlignment="1">
      <alignment horizontal="left" vertical="center" indent="1"/>
    </xf>
    <xf numFmtId="0" fontId="8" fillId="0" borderId="21" xfId="0" applyFont="1" applyBorder="1" applyAlignment="1">
      <alignment horizontal="left" vertical="center" indent="1"/>
    </xf>
    <xf numFmtId="178" fontId="12" fillId="2" borderId="9" xfId="0" applyNumberFormat="1" applyFont="1" applyFill="1" applyBorder="1" applyAlignment="1" applyProtection="1">
      <alignment vertical="center"/>
      <protection locked="0"/>
    </xf>
    <xf numFmtId="0" fontId="8" fillId="0" borderId="9" xfId="0" applyFont="1" applyBorder="1" applyAlignment="1">
      <alignment horizontal="center" vertical="center"/>
    </xf>
    <xf numFmtId="179" fontId="12" fillId="0" borderId="9" xfId="0" applyNumberFormat="1" applyFont="1" applyBorder="1" applyAlignment="1">
      <alignment vertical="center"/>
    </xf>
    <xf numFmtId="0" fontId="8" fillId="0" borderId="6" xfId="0" applyFont="1" applyBorder="1" applyAlignment="1">
      <alignment horizontal="center" vertical="center"/>
    </xf>
    <xf numFmtId="0" fontId="8" fillId="4" borderId="1" xfId="0" applyFont="1" applyFill="1" applyBorder="1" applyAlignment="1">
      <alignment horizontal="center" vertical="center" shrinkToFit="1"/>
    </xf>
    <xf numFmtId="0" fontId="0" fillId="0" borderId="3" xfId="0" applyBorder="1" applyAlignment="1">
      <alignment horizontal="center" vertical="center"/>
    </xf>
    <xf numFmtId="0" fontId="0" fillId="0" borderId="4" xfId="0" applyBorder="1" applyAlignment="1">
      <alignment horizontal="center" vertical="center"/>
    </xf>
    <xf numFmtId="0" fontId="5" fillId="2" borderId="0" xfId="0" applyFont="1" applyFill="1" applyAlignment="1" applyProtection="1">
      <alignment horizontal="left" vertical="center" shrinkToFit="1"/>
      <protection locked="0"/>
    </xf>
    <xf numFmtId="0" fontId="5" fillId="2" borderId="0" xfId="0" applyFont="1" applyFill="1" applyAlignment="1" applyProtection="1">
      <alignment horizontal="center" vertical="center"/>
      <protection locked="0"/>
    </xf>
    <xf numFmtId="0" fontId="5" fillId="0" borderId="0" xfId="0" applyFont="1" applyAlignment="1">
      <alignment horizontal="center" vertical="center"/>
    </xf>
    <xf numFmtId="0" fontId="9" fillId="0" borderId="0" xfId="0" applyFont="1" applyAlignment="1">
      <alignment horizontal="distributed" vertical="center"/>
    </xf>
    <xf numFmtId="177" fontId="10" fillId="0" borderId="0" xfId="1" applyNumberFormat="1" applyFont="1" applyAlignment="1" applyProtection="1">
      <alignment horizontal="center" vertical="center"/>
    </xf>
    <xf numFmtId="0" fontId="9" fillId="0" borderId="0" xfId="0" applyFont="1" applyAlignment="1">
      <alignment horizontal="left" vertical="center"/>
    </xf>
    <xf numFmtId="0" fontId="5" fillId="0" borderId="0" xfId="0" applyFont="1" applyAlignment="1">
      <alignment horizontal="distributed" vertical="center"/>
    </xf>
    <xf numFmtId="0" fontId="2" fillId="0" borderId="0" xfId="0" applyFont="1" applyAlignment="1">
      <alignment horizontal="center" vertical="center"/>
    </xf>
    <xf numFmtId="0" fontId="5" fillId="3" borderId="0" xfId="0" applyFont="1" applyFill="1" applyAlignment="1" applyProtection="1">
      <alignment horizontal="left" vertical="center" shrinkToFit="1"/>
      <protection locked="0"/>
    </xf>
  </cellXfs>
  <cellStyles count="2">
    <cellStyle name="桁区切り" xfId="1" builtinId="6"/>
    <cellStyle name="標準" xfId="0" builtinId="0"/>
  </cellStyles>
  <dxfs count="33">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
      <border>
        <bottom style="hair">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152400</xdr:colOff>
      <xdr:row>11</xdr:row>
      <xdr:rowOff>38100</xdr:rowOff>
    </xdr:from>
    <xdr:to>
      <xdr:col>28</xdr:col>
      <xdr:colOff>32385</xdr:colOff>
      <xdr:row>11</xdr:row>
      <xdr:rowOff>38100</xdr:rowOff>
    </xdr:to>
    <xdr:sp macro="" textlink="">
      <xdr:nvSpPr>
        <xdr:cNvPr id="2" name="Line 1">
          <a:extLst>
            <a:ext uri="{FF2B5EF4-FFF2-40B4-BE49-F238E27FC236}">
              <a16:creationId xmlns:a16="http://schemas.microsoft.com/office/drawing/2014/main" id="{41D1612A-C372-4A7A-B5DF-A1B06D65653D}"/>
            </a:ext>
          </a:extLst>
        </xdr:cNvPr>
        <xdr:cNvSpPr>
          <a:spLocks noChangeShapeType="1"/>
        </xdr:cNvSpPr>
      </xdr:nvSpPr>
      <xdr:spPr>
        <a:xfrm>
          <a:off x="1695450" y="2628900"/>
          <a:ext cx="3442335" cy="0"/>
        </a:xfrm>
        <a:prstGeom prst="line">
          <a:avLst/>
        </a:prstGeom>
        <a:noFill/>
        <a:ln w="19050">
          <a:solidFill>
            <a:sysClr val="windowText" lastClr="000000"/>
          </a:solidFill>
          <a:miter/>
        </a:ln>
      </xdr:spPr>
      <xdr:txBody>
        <a:bodyPr vertOverflow="overflow" horzOverflow="overflow" upright="1"/>
        <a:lstStyle/>
        <a:p>
          <a:endParaRPr/>
        </a:p>
      </xdr:txBody>
    </xdr:sp>
    <xdr:clientData/>
  </xdr:twoCellAnchor>
  <xdr:twoCellAnchor>
    <xdr:from>
      <xdr:col>39</xdr:col>
      <xdr:colOff>0</xdr:colOff>
      <xdr:row>12</xdr:row>
      <xdr:rowOff>0</xdr:rowOff>
    </xdr:from>
    <xdr:to>
      <xdr:col>39</xdr:col>
      <xdr:colOff>0</xdr:colOff>
      <xdr:row>12</xdr:row>
      <xdr:rowOff>0</xdr:rowOff>
    </xdr:to>
    <xdr:sp macro="" textlink="">
      <xdr:nvSpPr>
        <xdr:cNvPr id="3" name="Line 2">
          <a:extLst>
            <a:ext uri="{FF2B5EF4-FFF2-40B4-BE49-F238E27FC236}">
              <a16:creationId xmlns:a16="http://schemas.microsoft.com/office/drawing/2014/main" id="{CAEDB9A4-6314-42FA-AA3E-6DCA28735718}"/>
            </a:ext>
          </a:extLst>
        </xdr:cNvPr>
        <xdr:cNvSpPr>
          <a:spLocks noChangeShapeType="1"/>
        </xdr:cNvSpPr>
      </xdr:nvSpPr>
      <xdr:spPr>
        <a:xfrm>
          <a:off x="6972300" y="2714625"/>
          <a:ext cx="0" cy="0"/>
        </a:xfrm>
        <a:prstGeom prst="line">
          <a:avLst/>
        </a:prstGeom>
        <a:noFill/>
        <a:ln w="19050">
          <a:solidFill>
            <a:sysClr val="windowText" lastClr="000000"/>
          </a:solidFill>
          <a:miter/>
        </a:ln>
      </xdr:spPr>
      <xdr:txBody>
        <a:bodyPr vertOverflow="overflow" horzOverflow="overflow" upright="1"/>
        <a:lstStyle/>
        <a:p>
          <a:endParaRPr/>
        </a:p>
      </xdr:txBody>
    </xdr:sp>
    <xdr:clientData/>
  </xdr:twoCellAnchor>
  <xdr:twoCellAnchor>
    <xdr:from>
      <xdr:col>18</xdr:col>
      <xdr:colOff>21590</xdr:colOff>
      <xdr:row>42</xdr:row>
      <xdr:rowOff>38100</xdr:rowOff>
    </xdr:from>
    <xdr:to>
      <xdr:col>22</xdr:col>
      <xdr:colOff>54610</xdr:colOff>
      <xdr:row>43</xdr:row>
      <xdr:rowOff>0</xdr:rowOff>
    </xdr:to>
    <xdr:sp macro="" textlink="">
      <xdr:nvSpPr>
        <xdr:cNvPr id="4" name="テキスト ボックス 1">
          <a:extLst>
            <a:ext uri="{FF2B5EF4-FFF2-40B4-BE49-F238E27FC236}">
              <a16:creationId xmlns:a16="http://schemas.microsoft.com/office/drawing/2014/main" id="{3CD44CB5-CD1D-4EA6-A378-10F289EB705A}"/>
            </a:ext>
          </a:extLst>
        </xdr:cNvPr>
        <xdr:cNvSpPr txBox="1">
          <a:spLocks noChangeArrowheads="1"/>
        </xdr:cNvSpPr>
      </xdr:nvSpPr>
      <xdr:spPr>
        <a:xfrm>
          <a:off x="3431540" y="8486775"/>
          <a:ext cx="718820" cy="152400"/>
        </a:xfrm>
        <a:prstGeom prst="rect">
          <a:avLst/>
        </a:prstGeom>
        <a:solidFill>
          <a:srgbClr val="FFFFFF">
            <a:alpha val="0"/>
          </a:srgbClr>
        </a:solidFill>
        <a:ln>
          <a:miter/>
        </a:ln>
      </xdr:spPr>
      <xdr:txBody>
        <a:bodyPr vertOverflow="clip" horzOverflow="overflow" wrap="square" lIns="20637" tIns="4762" rIns="4762" bIns="4762" anchor="ctr"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（単価入力）</a:t>
          </a:r>
        </a:p>
      </xdr:txBody>
    </xdr:sp>
    <xdr:clientData fPrintsWithSheet="0"/>
  </xdr:twoCellAnchor>
  <xdr:twoCellAnchor>
    <xdr:from>
      <xdr:col>18</xdr:col>
      <xdr:colOff>21590</xdr:colOff>
      <xdr:row>45</xdr:row>
      <xdr:rowOff>38100</xdr:rowOff>
    </xdr:from>
    <xdr:to>
      <xdr:col>22</xdr:col>
      <xdr:colOff>54610</xdr:colOff>
      <xdr:row>46</xdr:row>
      <xdr:rowOff>0</xdr:rowOff>
    </xdr:to>
    <xdr:sp macro="" textlink="">
      <xdr:nvSpPr>
        <xdr:cNvPr id="5" name="テキスト ボックス 4">
          <a:extLst>
            <a:ext uri="{FF2B5EF4-FFF2-40B4-BE49-F238E27FC236}">
              <a16:creationId xmlns:a16="http://schemas.microsoft.com/office/drawing/2014/main" id="{E8F82C25-BB1F-4C70-A009-46D47DEBE7C2}"/>
            </a:ext>
          </a:extLst>
        </xdr:cNvPr>
        <xdr:cNvSpPr txBox="1">
          <a:spLocks noChangeArrowheads="1"/>
        </xdr:cNvSpPr>
      </xdr:nvSpPr>
      <xdr:spPr>
        <a:xfrm>
          <a:off x="3431540" y="9058275"/>
          <a:ext cx="718820" cy="152400"/>
        </a:xfrm>
        <a:prstGeom prst="rect">
          <a:avLst/>
        </a:prstGeom>
        <a:solidFill>
          <a:srgbClr val="FFFFFF">
            <a:alpha val="0"/>
          </a:srgbClr>
        </a:solidFill>
        <a:ln>
          <a:miter/>
        </a:ln>
      </xdr:spPr>
      <xdr:txBody>
        <a:bodyPr vertOverflow="clip" horzOverflow="overflow" wrap="square" lIns="20637" tIns="4762" rIns="4762" bIns="4762" anchor="ctr"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（単価入力）</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wan.ogata.lan\hoken\&#9734;&#20445;&#20581;&#12475;&#12531;&#12479;&#12540;(2019&#65374;)\06&#22865;&#32004;&#38306;&#20418;\4&#26376;1&#26085;&#24195;&#22495;&#20104;&#38450;&#25509;&#31278;\R5\3_&#21307;&#30274;&#27231;&#38306;&#12408;&#12398;&#36865;&#20184;\&#12304;&#22823;&#28511;&#26449;&#12305;&#31179;&#30000;&#30476;&#24195;&#22495;&#20104;&#38450;&#25509;&#31278;%20&#23455;&#26045;&#22577;&#21578;&#26360;%20&#20860;%20&#35531;&#27714;&#26360;(&#20445;&#35703;&#35299;&#385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報告書兼請求書(記入しないこと)"/>
      <sheetName val="委託料一覧"/>
    </sheetNames>
    <sheetDataSet>
      <sheetData sheetId="0"/>
      <sheetData sheetId="1">
        <row r="2">
          <cell r="A2" t="str">
            <v>令和５年５月１日現在</v>
          </cell>
        </row>
        <row r="5">
          <cell r="AO5" t="str">
            <v>２価</v>
          </cell>
          <cell r="AP5" t="str">
            <v>４価</v>
          </cell>
          <cell r="AQ5" t="str">
            <v>９価</v>
          </cell>
          <cell r="AT5" t="str">
            <v>1価</v>
          </cell>
          <cell r="AU5" t="str">
            <v>5価</v>
          </cell>
        </row>
        <row r="6">
          <cell r="A6" t="str">
            <v/>
          </cell>
          <cell r="B6" t="str">
            <v/>
          </cell>
          <cell r="C6" t="str">
            <v/>
          </cell>
          <cell r="D6" t="str">
            <v/>
          </cell>
          <cell r="E6" t="str">
            <v/>
          </cell>
        </row>
        <row r="7">
          <cell r="A7" t="str">
            <v>秋田市長　様　
【市内】</v>
          </cell>
          <cell r="B7" t="str">
            <v>秋田市保健所　健康管理課</v>
          </cell>
          <cell r="C7" t="str">
            <v>010-0976</v>
          </cell>
          <cell r="D7" t="str">
            <v>秋田市八橋南一丁目８－３</v>
          </cell>
          <cell r="E7" t="str">
            <v>018-883-1179</v>
          </cell>
          <cell r="H7" t="str">
            <v>***</v>
          </cell>
          <cell r="I7">
            <v>4015</v>
          </cell>
          <cell r="L7" t="str">
            <v>***</v>
          </cell>
          <cell r="M7">
            <v>4015</v>
          </cell>
          <cell r="N7">
            <v>3575</v>
          </cell>
          <cell r="Q7" t="str">
            <v>***</v>
          </cell>
          <cell r="R7">
            <v>4015</v>
          </cell>
          <cell r="S7">
            <v>5830</v>
          </cell>
          <cell r="T7" t="str">
            <v>第2期 5歳児</v>
          </cell>
          <cell r="U7">
            <v>4400</v>
          </cell>
          <cell r="V7" t="str">
            <v>第2期 6歳児</v>
          </cell>
          <cell r="W7">
            <v>3575</v>
          </cell>
          <cell r="X7">
            <v>5830</v>
          </cell>
          <cell r="Y7" t="str">
            <v>第2期 5歳児</v>
          </cell>
          <cell r="Z7">
            <v>4400</v>
          </cell>
          <cell r="AA7" t="str">
            <v>第2期 6歳児</v>
          </cell>
          <cell r="AB7">
            <v>3575</v>
          </cell>
          <cell r="AC7">
            <v>5830</v>
          </cell>
          <cell r="AD7" t="str">
            <v>第2期 5歳児</v>
          </cell>
          <cell r="AE7">
            <v>4400</v>
          </cell>
          <cell r="AF7" t="str">
            <v>第2期 6歳児</v>
          </cell>
          <cell r="AG7">
            <v>3575</v>
          </cell>
          <cell r="AJ7" t="str">
            <v>***</v>
          </cell>
          <cell r="AK7">
            <v>3641</v>
          </cell>
          <cell r="AL7">
            <v>5830</v>
          </cell>
          <cell r="AM7">
            <v>4015</v>
          </cell>
          <cell r="AN7">
            <v>4015</v>
          </cell>
          <cell r="AO7">
            <v>3575</v>
          </cell>
          <cell r="AR7">
            <v>5830</v>
          </cell>
          <cell r="AS7">
            <v>4620</v>
          </cell>
          <cell r="AT7">
            <v>5830</v>
          </cell>
          <cell r="AU7">
            <v>5830</v>
          </cell>
          <cell r="AV7" t="str">
            <v>非課税世帯</v>
          </cell>
          <cell r="AW7">
            <v>3225</v>
          </cell>
          <cell r="AX7" t="str">
            <v>課税世帯</v>
          </cell>
          <cell r="AY7">
            <v>2625</v>
          </cell>
          <cell r="AZ7" t="str">
            <v>非課税世帯</v>
          </cell>
          <cell r="BA7">
            <v>6251</v>
          </cell>
          <cell r="BB7" t="str">
            <v>課税世帯</v>
          </cell>
          <cell r="BC7">
            <v>5251</v>
          </cell>
          <cell r="BF7" t="str">
            <v>無し</v>
          </cell>
          <cell r="BH7" t="str">
            <v>秋田市内の医療機関　インフルエンザの実施期間は10月～2月</v>
          </cell>
          <cell r="BI7" t="str">
            <v>・接種料金は、医療機関が設定する接種料金（ただし、生活保護受給者の料金は、インフルエンザ（高齢者）は5,225円が上限、高齢者用肺炎球菌は8,751円が上限）
・請求書の日付けは空欄で２枚提出(押印は不要。ただし、欄外に発行責任者（理事長や院長等の医療機関内において権限の委任を受けた役職員）の職名・氏名、、担当者（請求に関する事務を担当する者）の職名・氏名および連絡先（医療機関の代表番号や直通番号等）を記載すること。）
※ｲﾝﾌﾙｴﾝｻﾞ・肺炎球菌ともに、接種料金が委託料に満たない場合はその金額を委託料として請求してください。</v>
          </cell>
        </row>
        <row r="8">
          <cell r="A8" t="str">
            <v>秋田市長　様　
【市外（県内に限る）】</v>
          </cell>
          <cell r="B8" t="str">
            <v>秋田市保健所　健康管理課</v>
          </cell>
          <cell r="C8" t="str">
            <v>010-0976</v>
          </cell>
          <cell r="D8" t="str">
            <v>秋田市八橋南一丁目８－３</v>
          </cell>
          <cell r="E8" t="str">
            <v>018-883-1179</v>
          </cell>
          <cell r="H8" t="str">
            <v>***</v>
          </cell>
          <cell r="I8">
            <v>10901</v>
          </cell>
          <cell r="L8" t="str">
            <v>***</v>
          </cell>
          <cell r="M8">
            <v>5665</v>
          </cell>
          <cell r="N8">
            <v>4944</v>
          </cell>
          <cell r="Q8" t="str">
            <v>***</v>
          </cell>
          <cell r="R8">
            <v>9999</v>
          </cell>
          <cell r="S8">
            <v>12177</v>
          </cell>
          <cell r="T8" t="str">
            <v>第2期 5歳児</v>
          </cell>
          <cell r="U8">
            <v>10747</v>
          </cell>
          <cell r="V8" t="str">
            <v>第2期 6歳児</v>
          </cell>
          <cell r="W8">
            <v>9922</v>
          </cell>
          <cell r="X8">
            <v>8767</v>
          </cell>
          <cell r="Y8" t="str">
            <v>第2期 5歳児</v>
          </cell>
          <cell r="Z8">
            <v>7337</v>
          </cell>
          <cell r="AA8" t="str">
            <v>第2期 6歳児</v>
          </cell>
          <cell r="AB8">
            <v>6512</v>
          </cell>
          <cell r="AC8">
            <v>8756</v>
          </cell>
          <cell r="AD8" t="str">
            <v>第2期 5歳児</v>
          </cell>
          <cell r="AE8">
            <v>7326</v>
          </cell>
          <cell r="AF8" t="str">
            <v>第2期 6歳児</v>
          </cell>
          <cell r="AG8">
            <v>6501</v>
          </cell>
          <cell r="AJ8" t="str">
            <v>***</v>
          </cell>
          <cell r="AK8">
            <v>6933</v>
          </cell>
          <cell r="AL8">
            <v>11110</v>
          </cell>
          <cell r="AM8">
            <v>8411</v>
          </cell>
          <cell r="AN8">
            <v>11533</v>
          </cell>
          <cell r="AO8">
            <v>15675</v>
          </cell>
          <cell r="AR8">
            <v>10516</v>
          </cell>
          <cell r="AS8">
            <v>7020</v>
          </cell>
          <cell r="AT8">
            <v>15873</v>
          </cell>
          <cell r="AU8">
            <v>11187</v>
          </cell>
          <cell r="AV8" t="str">
            <v>非課税世帯</v>
          </cell>
          <cell r="AW8">
            <v>3225</v>
          </cell>
          <cell r="AX8" t="str">
            <v>課税世帯</v>
          </cell>
          <cell r="AY8">
            <v>2625</v>
          </cell>
          <cell r="AZ8" t="str">
            <v>非課税世帯</v>
          </cell>
          <cell r="BA8">
            <v>6251</v>
          </cell>
          <cell r="BB8" t="str">
            <v>課税世帯</v>
          </cell>
          <cell r="BC8">
            <v>5251</v>
          </cell>
          <cell r="BF8" t="str">
            <v>無し</v>
          </cell>
          <cell r="BH8" t="str">
            <v>秋田市以外の医療機関　インフルエンザの実施期間は10月～2月</v>
          </cell>
          <cell r="BI8" t="str">
            <v>・接種料金は、医療機関が設定する接種料金（ただし、生活保護受給者の料金は、インフルエンザ（高齢者）は5,225円が上限、高齢者用肺炎球菌は8,751円が上限）
・請求書の日付けは空欄で２枚提出(押印は不要。ただし、欄外に発行責任者（理事長や院長等の医療機関内において権限の委任を受けた役職員）の職名・氏名、、担当者（請求に関する事務を担当する者）の職名・氏名および連絡先（医療機関の代表番号や直通番号等）を記載すること。）
※ｲﾝﾌﾙｴﾝｻﾞ・肺炎球菌ともに、接種料金が委託料に満たない場合はその金額を委託料として請求してください。</v>
          </cell>
        </row>
        <row r="9">
          <cell r="A9" t="str">
            <v>能代市長　様</v>
          </cell>
          <cell r="B9" t="str">
            <v>（子ども）子育て支援課/
（成　人）健康づくり課</v>
          </cell>
          <cell r="C9" t="str">
            <v>016-8501
016-0157</v>
          </cell>
          <cell r="D9" t="str">
            <v>能代市上町１－３
能代市字腹鞁ノ沢１９－３</v>
          </cell>
          <cell r="E9" t="str">
            <v>0185-89-2948/
0185-58-2838</v>
          </cell>
          <cell r="H9" t="str">
            <v>***</v>
          </cell>
          <cell r="I9">
            <v>11280</v>
          </cell>
          <cell r="L9" t="str">
            <v>***</v>
          </cell>
          <cell r="N9">
            <v>4810</v>
          </cell>
          <cell r="Q9" t="str">
            <v>***</v>
          </cell>
          <cell r="R9">
            <v>10125</v>
          </cell>
          <cell r="S9">
            <v>10840</v>
          </cell>
          <cell r="V9" t="str">
            <v>第2期</v>
          </cell>
          <cell r="W9">
            <v>10840</v>
          </cell>
          <cell r="X9">
            <v>7243</v>
          </cell>
          <cell r="AA9" t="str">
            <v>第2期</v>
          </cell>
          <cell r="AB9">
            <v>7243</v>
          </cell>
          <cell r="AC9">
            <v>7243</v>
          </cell>
          <cell r="AF9" t="str">
            <v>第2期</v>
          </cell>
          <cell r="AG9">
            <v>7243</v>
          </cell>
          <cell r="AJ9" t="str">
            <v>***</v>
          </cell>
          <cell r="AK9">
            <v>7705</v>
          </cell>
          <cell r="AL9">
            <v>9630</v>
          </cell>
          <cell r="AM9">
            <v>8684</v>
          </cell>
          <cell r="AN9">
            <v>12391</v>
          </cell>
          <cell r="AO9">
            <v>16580</v>
          </cell>
          <cell r="AR9">
            <v>9080</v>
          </cell>
          <cell r="AS9">
            <v>6796</v>
          </cell>
          <cell r="AT9">
            <v>14800</v>
          </cell>
          <cell r="AU9">
            <v>9773</v>
          </cell>
          <cell r="AX9" t="str">
            <v>一般</v>
          </cell>
          <cell r="AY9">
            <v>1400</v>
          </cell>
          <cell r="BB9" t="str">
            <v>一般</v>
          </cell>
          <cell r="BC9">
            <v>4000</v>
          </cell>
          <cell r="BF9" t="str">
            <v>無し</v>
          </cell>
          <cell r="BH9" t="str">
            <v>インフルエンザの実施期間は10月～2月</v>
          </cell>
          <cell r="BI9" t="str">
            <v>【インフルエンザ（高齢者）・高齢者用肺炎球菌】生保受給者は全額助成。接種料金が委託料に満たない場合はその金額</v>
          </cell>
          <cell r="BJ9" t="str">
            <v>印</v>
          </cell>
        </row>
        <row r="10">
          <cell r="A10" t="str">
            <v>横手市長　様</v>
          </cell>
          <cell r="B10" t="str">
            <v>市民福祉部　健康推進課</v>
          </cell>
          <cell r="C10" t="str">
            <v>013-0044</v>
          </cell>
          <cell r="D10" t="str">
            <v>横手市横山町１－１</v>
          </cell>
          <cell r="E10" t="str">
            <v>0182-33-9600</v>
          </cell>
          <cell r="H10" t="str">
            <v>***</v>
          </cell>
          <cell r="I10">
            <v>11957</v>
          </cell>
          <cell r="L10" t="str">
            <v>***</v>
          </cell>
          <cell r="M10">
            <v>6468</v>
          </cell>
          <cell r="N10">
            <v>5412</v>
          </cell>
          <cell r="Q10" t="str">
            <v>***</v>
          </cell>
          <cell r="R10">
            <v>10802</v>
          </cell>
          <cell r="S10">
            <v>11462</v>
          </cell>
          <cell r="V10" t="str">
            <v>第2期</v>
          </cell>
          <cell r="W10">
            <v>11462</v>
          </cell>
          <cell r="X10">
            <v>7920</v>
          </cell>
          <cell r="AA10" t="str">
            <v>第2期</v>
          </cell>
          <cell r="AB10">
            <v>7920</v>
          </cell>
          <cell r="AC10">
            <v>7920</v>
          </cell>
          <cell r="AF10" t="str">
            <v>第2期</v>
          </cell>
          <cell r="AG10">
            <v>7920</v>
          </cell>
          <cell r="AH10" t="str">
            <v>6歳未満</v>
          </cell>
          <cell r="AI10">
            <v>8382</v>
          </cell>
          <cell r="AJ10" t="str">
            <v>6歳以上</v>
          </cell>
          <cell r="AK10">
            <v>7557</v>
          </cell>
          <cell r="AL10">
            <v>10307</v>
          </cell>
          <cell r="AM10">
            <v>9361</v>
          </cell>
          <cell r="AN10">
            <v>12727</v>
          </cell>
          <cell r="AO10">
            <v>17182</v>
          </cell>
          <cell r="AR10">
            <v>9757</v>
          </cell>
          <cell r="AS10">
            <v>7203</v>
          </cell>
          <cell r="AT10">
            <v>15235</v>
          </cell>
          <cell r="AU10">
            <v>10208</v>
          </cell>
          <cell r="AX10" t="str">
            <v>一般</v>
          </cell>
          <cell r="AY10">
            <v>1000</v>
          </cell>
          <cell r="BB10" t="str">
            <v>一般</v>
          </cell>
          <cell r="BC10">
            <v>3000</v>
          </cell>
          <cell r="BF10" t="str">
            <v>無し</v>
          </cell>
          <cell r="BH10" t="str">
            <v>インフルエンザの実施期間は10月～2月</v>
          </cell>
          <cell r="BI10" t="str">
            <v>【インフルエンザ（高齢者）・高齢者用肺炎球菌】 実費徴収免除者（生保）は各医療機関接種料金による
押印を省略する場合、余白に「発行責任者職名・氏名、発行担当者職名・氏名、連絡先電話番号」を記載すること。</v>
          </cell>
          <cell r="BJ10" t="str">
            <v>印</v>
          </cell>
        </row>
        <row r="11">
          <cell r="A11" t="str">
            <v>大館市長　様</v>
          </cell>
          <cell r="B11" t="str">
            <v>福祉部　健康課　健康企画係</v>
          </cell>
          <cell r="C11" t="str">
            <v>017-0897</v>
          </cell>
          <cell r="D11" t="str">
            <v>大館市字三ノ丸５５</v>
          </cell>
          <cell r="E11" t="str">
            <v>0186-42-9055</v>
          </cell>
          <cell r="H11" t="str">
            <v>***</v>
          </cell>
          <cell r="I11">
            <v>11390</v>
          </cell>
          <cell r="L11" t="str">
            <v>***</v>
          </cell>
          <cell r="M11">
            <v>5900</v>
          </cell>
          <cell r="N11">
            <v>5310</v>
          </cell>
          <cell r="Q11" t="str">
            <v>***</v>
          </cell>
          <cell r="R11">
            <v>10230</v>
          </cell>
          <cell r="S11">
            <v>10890</v>
          </cell>
          <cell r="V11" t="str">
            <v>第2期</v>
          </cell>
          <cell r="W11">
            <v>10890</v>
          </cell>
          <cell r="X11">
            <v>7350</v>
          </cell>
          <cell r="AA11" t="str">
            <v>第2期</v>
          </cell>
          <cell r="AB11">
            <v>7350</v>
          </cell>
          <cell r="AC11">
            <v>7350</v>
          </cell>
          <cell r="AF11" t="str">
            <v>第2期</v>
          </cell>
          <cell r="AG11">
            <v>7350</v>
          </cell>
          <cell r="AH11" t="str">
            <v>生後90月未満</v>
          </cell>
          <cell r="AI11">
            <v>7810</v>
          </cell>
          <cell r="AJ11" t="str">
            <v>生後90月以上</v>
          </cell>
          <cell r="AK11">
            <v>6990</v>
          </cell>
          <cell r="AL11">
            <v>9980</v>
          </cell>
          <cell r="AM11">
            <v>8790</v>
          </cell>
          <cell r="AN11">
            <v>12160</v>
          </cell>
          <cell r="AO11">
            <v>16610</v>
          </cell>
          <cell r="AR11">
            <v>9190</v>
          </cell>
          <cell r="AS11">
            <v>6670</v>
          </cell>
          <cell r="AT11">
            <v>14660</v>
          </cell>
          <cell r="AU11">
            <v>9640</v>
          </cell>
          <cell r="AX11" t="str">
            <v>一般</v>
          </cell>
          <cell r="AY11">
            <v>1000</v>
          </cell>
          <cell r="BB11" t="str">
            <v>一般</v>
          </cell>
          <cell r="BC11">
            <v>3000</v>
          </cell>
          <cell r="BD11" t="str">
            <v>生後90月未満</v>
          </cell>
          <cell r="BE11">
            <v>3990</v>
          </cell>
          <cell r="BF11" t="str">
            <v>生後90月以上</v>
          </cell>
          <cell r="BG11">
            <v>3170</v>
          </cell>
          <cell r="BH11" t="str">
            <v>インフルエンザの実施期間は10月～2月</v>
          </cell>
          <cell r="BI11" t="str">
            <v>【インフルエンザ（高齢者）・高齢者用肺炎球菌】  生活保護受給世帯は全額助成。接種料が委託料に満たない場合はその金額。予診料の設定はなし。請求書は、Ａ類疾病と分けて種類ごとの提出とする。実施報告書兼請求書は押印必要なし。</v>
          </cell>
        </row>
        <row r="12">
          <cell r="A12" t="str">
            <v>男鹿市長　様</v>
          </cell>
          <cell r="B12" t="str">
            <v>健康推進課</v>
          </cell>
          <cell r="C12" t="str">
            <v>010-0595</v>
          </cell>
          <cell r="D12" t="str">
            <v>男鹿市船川港船川字泉台６６番地１</v>
          </cell>
          <cell r="E12" t="str">
            <v>0185-24-3400</v>
          </cell>
          <cell r="H12" t="str">
            <v>***</v>
          </cell>
          <cell r="I12">
            <v>10901</v>
          </cell>
          <cell r="L12" t="str">
            <v>***</v>
          </cell>
          <cell r="M12">
            <v>5665</v>
          </cell>
          <cell r="N12">
            <v>4944</v>
          </cell>
          <cell r="Q12" t="str">
            <v>***</v>
          </cell>
          <cell r="R12">
            <v>9999</v>
          </cell>
          <cell r="S12">
            <v>12117</v>
          </cell>
          <cell r="T12" t="str">
            <v>第2期 5歳児</v>
          </cell>
          <cell r="U12">
            <v>10747</v>
          </cell>
          <cell r="V12" t="str">
            <v>第2期 6歳児</v>
          </cell>
          <cell r="W12">
            <v>9922</v>
          </cell>
          <cell r="X12">
            <v>8767</v>
          </cell>
          <cell r="Y12" t="str">
            <v>第2期 5歳児</v>
          </cell>
          <cell r="Z12">
            <v>7337</v>
          </cell>
          <cell r="AA12" t="str">
            <v>第2期 6歳児</v>
          </cell>
          <cell r="AB12">
            <v>6512</v>
          </cell>
          <cell r="AC12">
            <v>8756</v>
          </cell>
          <cell r="AD12" t="str">
            <v>第2期 5歳児</v>
          </cell>
          <cell r="AE12">
            <v>7326</v>
          </cell>
          <cell r="AF12" t="str">
            <v>第2期 6歳児</v>
          </cell>
          <cell r="AG12">
            <v>6501</v>
          </cell>
          <cell r="AJ12" t="str">
            <v>***</v>
          </cell>
          <cell r="AK12">
            <v>6933</v>
          </cell>
          <cell r="AL12">
            <v>11110</v>
          </cell>
          <cell r="AM12">
            <v>8411</v>
          </cell>
          <cell r="AN12">
            <v>11533</v>
          </cell>
          <cell r="AO12">
            <v>15675</v>
          </cell>
          <cell r="AR12">
            <v>10516</v>
          </cell>
          <cell r="AS12">
            <v>7020</v>
          </cell>
          <cell r="AT12">
            <v>15873</v>
          </cell>
          <cell r="AU12">
            <v>11187</v>
          </cell>
          <cell r="AX12" t="str">
            <v>一般</v>
          </cell>
          <cell r="AY12">
            <v>1500</v>
          </cell>
          <cell r="BB12" t="str">
            <v>一般</v>
          </cell>
          <cell r="BC12">
            <v>3000</v>
          </cell>
          <cell r="BF12" t="str">
            <v>無し</v>
          </cell>
          <cell r="BH12" t="str">
            <v>インフルエンザの実施期間は10月～2月</v>
          </cell>
          <cell r="BI12" t="str">
            <v>【インフルエンザ（高齢者）・高齢者用肺炎球菌】生活保護市全額補助
押印を省略する場合、余白に「発行責任者職名・氏名、担当者職名・氏名及び連絡先電話番号」を記載すること。</v>
          </cell>
          <cell r="BJ12" t="str">
            <v>印</v>
          </cell>
        </row>
        <row r="13">
          <cell r="A13" t="str">
            <v>湯沢市長　様</v>
          </cell>
          <cell r="B13" t="str">
            <v>［母子］子ども未来課/
［成人］健康対策課</v>
          </cell>
          <cell r="C13" t="str">
            <v>012-8501</v>
          </cell>
          <cell r="D13" t="str">
            <v>湯沢市佐竹町１－１</v>
          </cell>
          <cell r="E13" t="str">
            <v>0183-55-8275/
0183-73-2124</v>
          </cell>
          <cell r="H13" t="str">
            <v>***</v>
          </cell>
          <cell r="I13">
            <v>11957</v>
          </cell>
          <cell r="L13" t="str">
            <v>***</v>
          </cell>
          <cell r="M13">
            <v>6468</v>
          </cell>
          <cell r="N13">
            <v>5412</v>
          </cell>
          <cell r="Q13" t="str">
            <v>***</v>
          </cell>
          <cell r="R13">
            <v>10802</v>
          </cell>
          <cell r="S13">
            <v>11462</v>
          </cell>
          <cell r="V13" t="str">
            <v>第2期</v>
          </cell>
          <cell r="W13">
            <v>11462</v>
          </cell>
          <cell r="X13">
            <v>7920</v>
          </cell>
          <cell r="AA13" t="str">
            <v>第2期</v>
          </cell>
          <cell r="AB13">
            <v>7920</v>
          </cell>
          <cell r="AC13">
            <v>7920</v>
          </cell>
          <cell r="AF13" t="str">
            <v>第2期</v>
          </cell>
          <cell r="AG13">
            <v>7920</v>
          </cell>
          <cell r="AH13" t="str">
            <v>6歳未満</v>
          </cell>
          <cell r="AI13">
            <v>8382</v>
          </cell>
          <cell r="AJ13" t="str">
            <v>6歳以上</v>
          </cell>
          <cell r="AK13">
            <v>7557</v>
          </cell>
          <cell r="AL13">
            <v>10307</v>
          </cell>
          <cell r="AM13">
            <v>9361</v>
          </cell>
          <cell r="AN13">
            <v>12727</v>
          </cell>
          <cell r="AO13">
            <v>17182</v>
          </cell>
          <cell r="AR13">
            <v>9757</v>
          </cell>
          <cell r="AS13">
            <v>7203</v>
          </cell>
          <cell r="AT13">
            <v>15235</v>
          </cell>
          <cell r="AU13">
            <v>10208</v>
          </cell>
          <cell r="AX13" t="str">
            <v>一般</v>
          </cell>
          <cell r="AY13">
            <v>1000</v>
          </cell>
          <cell r="BB13" t="str">
            <v>一般</v>
          </cell>
          <cell r="BC13">
            <v>3000</v>
          </cell>
          <cell r="BF13" t="str">
            <v>無し</v>
          </cell>
          <cell r="BH13" t="str">
            <v>インフルエンザの実施期間は10月～2月</v>
          </cell>
          <cell r="BI13" t="str">
            <v>医療法人に属する医療機関は法人の代表者名と法人印により請求
【インフルエンザ（高齢者）・高齢者用肺炎球菌】 生保は各医療機関接種料金全額。料金が委託料に満たない場合その金額。
押印を省略する場合、余白に「発行責任者職名・氏名、担当者職名・氏名、連絡先電話番号」を記載すること。</v>
          </cell>
        </row>
        <row r="14">
          <cell r="A14" t="str">
            <v>鹿角市長　様</v>
          </cell>
          <cell r="B14" t="str">
            <v>すこやか子育て課</v>
          </cell>
          <cell r="C14" t="str">
            <v>018-5201</v>
          </cell>
          <cell r="D14" t="str">
            <v>鹿角市花輪字下花輪５０</v>
          </cell>
          <cell r="E14" t="str">
            <v>0186-30-0119</v>
          </cell>
          <cell r="H14" t="str">
            <v>***</v>
          </cell>
          <cell r="I14">
            <v>11825</v>
          </cell>
          <cell r="L14" t="str">
            <v>***</v>
          </cell>
          <cell r="M14">
            <v>6226</v>
          </cell>
          <cell r="N14">
            <v>5170</v>
          </cell>
          <cell r="Q14" t="str">
            <v>***</v>
          </cell>
          <cell r="R14">
            <v>10560</v>
          </cell>
          <cell r="S14">
            <v>11275</v>
          </cell>
          <cell r="V14" t="str">
            <v>第2期</v>
          </cell>
          <cell r="W14">
            <v>11275</v>
          </cell>
          <cell r="X14">
            <v>7678</v>
          </cell>
          <cell r="AA14" t="str">
            <v>第2期</v>
          </cell>
          <cell r="AB14">
            <v>7678</v>
          </cell>
          <cell r="AC14">
            <v>7678</v>
          </cell>
          <cell r="AF14" t="str">
            <v>第2期</v>
          </cell>
          <cell r="AG14">
            <v>7678</v>
          </cell>
          <cell r="AH14" t="str">
            <v>生後90月未満</v>
          </cell>
          <cell r="AI14">
            <v>8140</v>
          </cell>
          <cell r="AJ14" t="str">
            <v>生後90月以上</v>
          </cell>
          <cell r="AK14">
            <v>7315</v>
          </cell>
          <cell r="AL14">
            <v>10065</v>
          </cell>
          <cell r="AM14">
            <v>9119</v>
          </cell>
          <cell r="AN14">
            <v>12826</v>
          </cell>
          <cell r="AO14">
            <v>16940</v>
          </cell>
          <cell r="AR14">
            <v>9515</v>
          </cell>
          <cell r="AS14">
            <v>7273</v>
          </cell>
          <cell r="AT14">
            <v>15235</v>
          </cell>
          <cell r="AU14">
            <v>10208</v>
          </cell>
          <cell r="AX14" t="str">
            <v>一般</v>
          </cell>
          <cell r="AY14">
            <v>1500</v>
          </cell>
          <cell r="BB14" t="str">
            <v>一般</v>
          </cell>
          <cell r="BC14">
            <v>3000</v>
          </cell>
          <cell r="BF14" t="str">
            <v>無し</v>
          </cell>
          <cell r="BH14" t="str">
            <v>インフルエンザの実施期間は10月～2月</v>
          </cell>
          <cell r="BI14" t="str">
            <v>【インフルエンザ（高齢者）・高齢者用肺炎球菌】 生活保護受給世帯は全額助成</v>
          </cell>
          <cell r="BJ14" t="str">
            <v>印</v>
          </cell>
        </row>
        <row r="15">
          <cell r="A15" t="str">
            <v>由利本荘市長　様</v>
          </cell>
          <cell r="B15" t="str">
            <v>健康福祉部健康づくり課</v>
          </cell>
          <cell r="C15" t="str">
            <v>015-0872</v>
          </cell>
          <cell r="D15" t="str">
            <v>由利本荘市瓦谷地１</v>
          </cell>
          <cell r="E15" t="str">
            <v>0184-22-1834</v>
          </cell>
          <cell r="H15" t="str">
            <v>***</v>
          </cell>
          <cell r="I15">
            <v>11198</v>
          </cell>
          <cell r="L15" t="str">
            <v>***</v>
          </cell>
          <cell r="N15">
            <v>4983</v>
          </cell>
          <cell r="Q15" t="str">
            <v>***</v>
          </cell>
          <cell r="R15">
            <v>9823</v>
          </cell>
          <cell r="S15">
            <v>12298</v>
          </cell>
          <cell r="V15" t="str">
            <v>第2期</v>
          </cell>
          <cell r="W15">
            <v>10461</v>
          </cell>
          <cell r="X15">
            <v>8019</v>
          </cell>
          <cell r="AA15" t="str">
            <v>第2期</v>
          </cell>
          <cell r="AB15">
            <v>8019</v>
          </cell>
          <cell r="AC15">
            <v>8019</v>
          </cell>
          <cell r="AF15" t="str">
            <v>第2期</v>
          </cell>
          <cell r="AG15">
            <v>8019</v>
          </cell>
          <cell r="AJ15" t="str">
            <v>***</v>
          </cell>
          <cell r="AK15">
            <v>7032</v>
          </cell>
          <cell r="AL15">
            <v>11143</v>
          </cell>
          <cell r="AM15">
            <v>8382</v>
          </cell>
          <cell r="AN15">
            <v>11913</v>
          </cell>
          <cell r="AO15">
            <v>16588</v>
          </cell>
          <cell r="AR15">
            <v>10593</v>
          </cell>
          <cell r="AS15">
            <v>6732</v>
          </cell>
          <cell r="AT15">
            <v>14278</v>
          </cell>
          <cell r="AU15">
            <v>8646</v>
          </cell>
          <cell r="AX15" t="str">
            <v>一般</v>
          </cell>
          <cell r="AY15">
            <v>1000</v>
          </cell>
          <cell r="BB15" t="str">
            <v>一般</v>
          </cell>
          <cell r="BC15">
            <v>3000</v>
          </cell>
          <cell r="BF15" t="str">
            <v>無し</v>
          </cell>
          <cell r="BH15" t="str">
            <v>インフルエンザの実施期間は10月～2月</v>
          </cell>
          <cell r="BI15" t="str">
            <v xml:space="preserve">【インフルエンザ（高齢者）・高齢者用肺炎球菌】 生保は全額負担
債権者が法人の場合、押印省略可。その場合、「医療機関名、所在地、氏名、請求書の発行責任者、担当者氏名、連絡先電話番号」を記載すること。  </v>
          </cell>
          <cell r="BJ15" t="str">
            <v>印</v>
          </cell>
        </row>
        <row r="16">
          <cell r="A16" t="str">
            <v>潟上市長　様</v>
          </cell>
          <cell r="B16" t="str">
            <v>［母子］子育て応援課/
［成人］健康長寿課</v>
          </cell>
          <cell r="C16" t="str">
            <v>010-0201</v>
          </cell>
          <cell r="D16" t="str">
            <v>潟上市天王字棒沼台２２６－１</v>
          </cell>
          <cell r="E16" t="str">
            <v>018-853-5372/
018-853-5315</v>
          </cell>
          <cell r="H16" t="str">
            <v>***</v>
          </cell>
          <cell r="I16">
            <v>10901</v>
          </cell>
          <cell r="L16" t="str">
            <v>***</v>
          </cell>
          <cell r="M16">
            <v>5665</v>
          </cell>
          <cell r="N16">
            <v>4944</v>
          </cell>
          <cell r="Q16" t="str">
            <v>***</v>
          </cell>
          <cell r="R16">
            <v>9999</v>
          </cell>
          <cell r="S16">
            <v>12117</v>
          </cell>
          <cell r="T16" t="str">
            <v>第2期 5歳児</v>
          </cell>
          <cell r="U16">
            <v>10747</v>
          </cell>
          <cell r="V16" t="str">
            <v>第2期 6歳児</v>
          </cell>
          <cell r="W16">
            <v>9922</v>
          </cell>
          <cell r="X16">
            <v>8767</v>
          </cell>
          <cell r="Y16" t="str">
            <v>第2期 5歳児</v>
          </cell>
          <cell r="Z16">
            <v>7337</v>
          </cell>
          <cell r="AA16" t="str">
            <v>第2期 6歳児</v>
          </cell>
          <cell r="AB16">
            <v>6512</v>
          </cell>
          <cell r="AC16">
            <v>8756</v>
          </cell>
          <cell r="AD16" t="str">
            <v>第2期 5歳児</v>
          </cell>
          <cell r="AE16">
            <v>7326</v>
          </cell>
          <cell r="AF16" t="str">
            <v>第2期 6歳児</v>
          </cell>
          <cell r="AG16">
            <v>6501</v>
          </cell>
          <cell r="AJ16" t="str">
            <v>***</v>
          </cell>
          <cell r="AK16">
            <v>6933</v>
          </cell>
          <cell r="AL16">
            <v>11110</v>
          </cell>
          <cell r="AM16">
            <v>8411</v>
          </cell>
          <cell r="AN16">
            <v>11533</v>
          </cell>
          <cell r="AO16">
            <v>15675</v>
          </cell>
          <cell r="AR16">
            <v>10516</v>
          </cell>
          <cell r="AS16">
            <v>7020</v>
          </cell>
          <cell r="AT16">
            <v>15873</v>
          </cell>
          <cell r="AU16">
            <v>11187</v>
          </cell>
          <cell r="AX16" t="str">
            <v>一般</v>
          </cell>
          <cell r="AY16">
            <v>1000</v>
          </cell>
          <cell r="BB16" t="str">
            <v>一般</v>
          </cell>
          <cell r="BC16">
            <v>3000</v>
          </cell>
          <cell r="BF16" t="str">
            <v>無し</v>
          </cell>
          <cell r="BH16" t="str">
            <v>インフルエンザの実施期間は10月～2月</v>
          </cell>
          <cell r="BI16" t="str">
            <v>【インフルエンザ（高齢者）】 非課税生保世帯全額助成
【高齢者用肺炎球菌】 生保世帯全額助成
押印不要。ただし、余白に「発行責任者職名・氏名、担当者職名・氏名及び連絡先電話番号」を記載すること。発行責任者等記載しない場合は要押印。</v>
          </cell>
        </row>
        <row r="17">
          <cell r="A17" t="str">
            <v>大仙市長　様</v>
          </cell>
          <cell r="B17" t="str">
            <v>健康福祉部健康増進センター</v>
          </cell>
          <cell r="C17" t="str">
            <v>014-0027</v>
          </cell>
          <cell r="D17" t="str">
            <v>大仙市大曲通町１－１４</v>
          </cell>
          <cell r="E17" t="str">
            <v>0187-73-6811</v>
          </cell>
          <cell r="H17" t="str">
            <v>***</v>
          </cell>
          <cell r="I17">
            <v>11445</v>
          </cell>
          <cell r="L17" t="str">
            <v>***</v>
          </cell>
          <cell r="M17">
            <v>5879</v>
          </cell>
          <cell r="N17">
            <v>5725</v>
          </cell>
          <cell r="Q17" t="str">
            <v>***</v>
          </cell>
          <cell r="R17">
            <v>10290</v>
          </cell>
          <cell r="S17">
            <v>10868</v>
          </cell>
          <cell r="V17" t="str">
            <v>第2期</v>
          </cell>
          <cell r="W17">
            <v>10868</v>
          </cell>
          <cell r="X17">
            <v>6848</v>
          </cell>
          <cell r="AA17" t="str">
            <v>第2期</v>
          </cell>
          <cell r="AB17">
            <v>6848</v>
          </cell>
          <cell r="AC17">
            <v>6848</v>
          </cell>
          <cell r="AF17" t="str">
            <v>第2期</v>
          </cell>
          <cell r="AG17">
            <v>6848</v>
          </cell>
          <cell r="AJ17" t="str">
            <v>***</v>
          </cell>
          <cell r="AK17">
            <v>7859</v>
          </cell>
          <cell r="AL17">
            <v>9795</v>
          </cell>
          <cell r="AM17">
            <v>8382</v>
          </cell>
          <cell r="AN17">
            <v>10916</v>
          </cell>
          <cell r="AO17">
            <v>16500</v>
          </cell>
          <cell r="AR17">
            <v>9245</v>
          </cell>
          <cell r="AS17">
            <v>6574</v>
          </cell>
          <cell r="AT17">
            <v>14883</v>
          </cell>
          <cell r="AU17">
            <v>9856</v>
          </cell>
          <cell r="AX17" t="str">
            <v>一般</v>
          </cell>
          <cell r="AY17">
            <v>1000</v>
          </cell>
          <cell r="BB17" t="str">
            <v>一般</v>
          </cell>
          <cell r="BC17">
            <v>3000</v>
          </cell>
          <cell r="BF17" t="str">
            <v>無し</v>
          </cell>
          <cell r="BH17" t="str">
            <v>インフルエンザの実施期間は10月～2月</v>
          </cell>
          <cell r="BI17" t="str">
            <v>【インフルエンザ（高齢者）】生保受給者・中国残留邦人の方は無料。
【高齢者用肺炎球菌】生保受給者・中国残留邦人の方は無料
押印なしの場合は「発行責任者及び担当者」の氏名及び連絡先を明記する。事務担当者から在籍確認の電話をする場合があります。</v>
          </cell>
        </row>
        <row r="18">
          <cell r="A18" t="str">
            <v>北秋田市長　様</v>
          </cell>
          <cell r="B18" t="str">
            <v>健康福祉部　医療健康課</v>
          </cell>
          <cell r="C18" t="str">
            <v>018-3315</v>
          </cell>
          <cell r="D18" t="str">
            <v>北秋田市宮前町９－６９</v>
          </cell>
          <cell r="E18" t="str">
            <v>0186-62-6666</v>
          </cell>
          <cell r="F18" t="str">
            <v>6歳未満</v>
          </cell>
          <cell r="G18">
            <v>11143</v>
          </cell>
          <cell r="H18" t="str">
            <v>6歳以上</v>
          </cell>
          <cell r="I18">
            <v>10318</v>
          </cell>
          <cell r="J18" t="str">
            <v>6歳未満</v>
          </cell>
          <cell r="K18">
            <v>4592</v>
          </cell>
          <cell r="L18" t="str">
            <v>6歳以上</v>
          </cell>
          <cell r="M18">
            <v>3800</v>
          </cell>
          <cell r="N18">
            <v>5111</v>
          </cell>
          <cell r="O18" t="str">
            <v>6歳未満</v>
          </cell>
          <cell r="P18">
            <v>9988</v>
          </cell>
          <cell r="Q18" t="str">
            <v>6歳以上</v>
          </cell>
          <cell r="R18">
            <v>9163</v>
          </cell>
          <cell r="S18">
            <v>10057</v>
          </cell>
          <cell r="V18" t="str">
            <v>第2期</v>
          </cell>
          <cell r="W18">
            <v>10057</v>
          </cell>
          <cell r="X18">
            <v>6154</v>
          </cell>
          <cell r="AA18" t="str">
            <v>第2期</v>
          </cell>
          <cell r="AB18">
            <v>6154</v>
          </cell>
          <cell r="AC18">
            <v>6154</v>
          </cell>
          <cell r="AF18" t="str">
            <v>第2期</v>
          </cell>
          <cell r="AG18">
            <v>6154</v>
          </cell>
          <cell r="AH18" t="str">
            <v>6歳未満</v>
          </cell>
          <cell r="AI18">
            <v>6922</v>
          </cell>
          <cell r="AJ18" t="str">
            <v>6歳以上</v>
          </cell>
          <cell r="AK18">
            <v>6130</v>
          </cell>
          <cell r="AL18">
            <v>6226</v>
          </cell>
          <cell r="AM18">
            <v>9273</v>
          </cell>
          <cell r="AN18">
            <v>11913</v>
          </cell>
          <cell r="AO18">
            <v>16698</v>
          </cell>
          <cell r="AR18">
            <v>8943</v>
          </cell>
          <cell r="AS18">
            <v>6494</v>
          </cell>
          <cell r="AT18">
            <v>15191</v>
          </cell>
          <cell r="AU18">
            <v>10461</v>
          </cell>
          <cell r="AX18" t="str">
            <v>一般</v>
          </cell>
          <cell r="AY18">
            <v>1500</v>
          </cell>
          <cell r="BB18" t="str">
            <v>一般</v>
          </cell>
          <cell r="BC18">
            <v>3000</v>
          </cell>
          <cell r="BD18" t="str">
            <v>6歳未満</v>
          </cell>
          <cell r="BE18">
            <v>2733</v>
          </cell>
          <cell r="BF18" t="str">
            <v>6歳以上</v>
          </cell>
          <cell r="BG18">
            <v>1941</v>
          </cell>
          <cell r="BH18" t="str">
            <v>インフルエンザの実施期間は10月～2月</v>
          </cell>
          <cell r="BI18" t="str">
            <v>【インフルエンザ（高齢者）】生活保護受給者は全額を助成。他の予防接種と請求書を分ける。
【高齢者用肺炎球菌】 生活保護受給者は全額を助成。他の予防接種と請求書を分ける。</v>
          </cell>
          <cell r="BJ18" t="str">
            <v>印</v>
          </cell>
        </row>
        <row r="19">
          <cell r="A19" t="str">
            <v>にかほ市長　様　
【母子】</v>
          </cell>
          <cell r="B19" t="str">
            <v>金浦保健センター</v>
          </cell>
          <cell r="C19" t="str">
            <v>018-0311</v>
          </cell>
          <cell r="D19" t="str">
            <v>にかほ市金浦字花潟８３－１</v>
          </cell>
          <cell r="E19" t="str">
            <v>0184-38-4200</v>
          </cell>
          <cell r="H19" t="str">
            <v>***</v>
          </cell>
          <cell r="I19">
            <v>11198</v>
          </cell>
          <cell r="L19" t="str">
            <v>***</v>
          </cell>
          <cell r="M19">
            <v>5549</v>
          </cell>
          <cell r="N19">
            <v>4983</v>
          </cell>
          <cell r="Q19" t="str">
            <v>***</v>
          </cell>
          <cell r="R19">
            <v>9823</v>
          </cell>
          <cell r="S19">
            <v>12298</v>
          </cell>
          <cell r="V19" t="str">
            <v>第2期</v>
          </cell>
          <cell r="W19">
            <v>10461</v>
          </cell>
          <cell r="X19">
            <v>8019</v>
          </cell>
          <cell r="AA19" t="str">
            <v>第2期</v>
          </cell>
          <cell r="AB19">
            <v>8019</v>
          </cell>
          <cell r="AC19">
            <v>8019</v>
          </cell>
          <cell r="AF19" t="str">
            <v>第2期</v>
          </cell>
          <cell r="AG19">
            <v>8019</v>
          </cell>
          <cell r="AJ19" t="str">
            <v>***</v>
          </cell>
          <cell r="AK19">
            <v>7032</v>
          </cell>
          <cell r="AL19">
            <v>11143</v>
          </cell>
          <cell r="AM19">
            <v>8382</v>
          </cell>
          <cell r="AN19">
            <v>11913</v>
          </cell>
          <cell r="AO19">
            <v>16588</v>
          </cell>
          <cell r="AR19">
            <v>10593</v>
          </cell>
          <cell r="AS19">
            <v>6732</v>
          </cell>
          <cell r="AT19">
            <v>14278</v>
          </cell>
          <cell r="AU19">
            <v>8646</v>
          </cell>
        </row>
        <row r="20">
          <cell r="A20" t="str">
            <v>にかほ市長　様　
【成人】</v>
          </cell>
          <cell r="B20" t="str">
            <v>仁賀保保健センター</v>
          </cell>
          <cell r="C20" t="str">
            <v>018-0402</v>
          </cell>
          <cell r="D20" t="str">
            <v>にかほ市平沢八森３１−１</v>
          </cell>
          <cell r="E20" t="str">
            <v>0184-32-3000</v>
          </cell>
          <cell r="AX20" t="str">
            <v>一般</v>
          </cell>
          <cell r="AY20">
            <v>1500</v>
          </cell>
          <cell r="BB20" t="str">
            <v>一般</v>
          </cell>
          <cell r="BC20">
            <v>3000</v>
          </cell>
          <cell r="BF20" t="str">
            <v>無し</v>
          </cell>
          <cell r="BH20" t="str">
            <v>インフルエンザの実施期間は10月～2月</v>
          </cell>
          <cell r="BI20" t="str">
            <v>【インフルエンザ（高齢者）・高齢者用肺炎球菌】 生活保護世帯は接種料金全額負担</v>
          </cell>
        </row>
        <row r="21">
          <cell r="A21" t="str">
            <v>仙北市長　様</v>
          </cell>
          <cell r="B21" t="str">
            <v>保健課</v>
          </cell>
          <cell r="C21" t="str">
            <v>014-0392</v>
          </cell>
          <cell r="D21" t="str">
            <v>仙北市角館町中菅沢８１－８</v>
          </cell>
          <cell r="E21" t="str">
            <v>0187-43-2252</v>
          </cell>
          <cell r="H21" t="str">
            <v>***</v>
          </cell>
          <cell r="I21">
            <v>11445</v>
          </cell>
          <cell r="L21" t="str">
            <v>***</v>
          </cell>
          <cell r="M21">
            <v>5879</v>
          </cell>
          <cell r="N21">
            <v>5725</v>
          </cell>
          <cell r="Q21" t="str">
            <v>***</v>
          </cell>
          <cell r="R21">
            <v>10290</v>
          </cell>
          <cell r="S21">
            <v>10868</v>
          </cell>
          <cell r="V21" t="str">
            <v>第2期</v>
          </cell>
          <cell r="W21">
            <v>10868</v>
          </cell>
          <cell r="X21">
            <v>6848</v>
          </cell>
          <cell r="AA21" t="str">
            <v>第2期</v>
          </cell>
          <cell r="AB21">
            <v>6848</v>
          </cell>
          <cell r="AC21">
            <v>6848</v>
          </cell>
          <cell r="AF21" t="str">
            <v>第2期</v>
          </cell>
          <cell r="AG21">
            <v>6848</v>
          </cell>
          <cell r="AJ21" t="str">
            <v>***</v>
          </cell>
          <cell r="AK21">
            <v>7859</v>
          </cell>
          <cell r="AL21">
            <v>9795</v>
          </cell>
          <cell r="AM21">
            <v>8382</v>
          </cell>
          <cell r="AN21">
            <v>10916</v>
          </cell>
          <cell r="AO21">
            <v>16500</v>
          </cell>
          <cell r="AR21">
            <v>9245</v>
          </cell>
          <cell r="AS21">
            <v>6574</v>
          </cell>
          <cell r="AT21">
            <v>14883</v>
          </cell>
          <cell r="AU21">
            <v>9856</v>
          </cell>
          <cell r="AX21" t="str">
            <v>一般</v>
          </cell>
          <cell r="AY21">
            <v>1000</v>
          </cell>
          <cell r="BB21" t="str">
            <v>一般</v>
          </cell>
          <cell r="BC21">
            <v>3000</v>
          </cell>
          <cell r="BF21" t="str">
            <v>無し</v>
          </cell>
          <cell r="BH21" t="str">
            <v>インフルエンザの実施期間は10月～3月</v>
          </cell>
          <cell r="BI21" t="str">
            <v>【インフルエンザ（高齢者）・高齢者用肺炎球菌】 生活保護受給世帯は全額助成</v>
          </cell>
          <cell r="BJ21" t="str">
            <v>印</v>
          </cell>
        </row>
        <row r="22">
          <cell r="A22" t="str">
            <v>小坂町長　様</v>
          </cell>
          <cell r="B22" t="str">
            <v>福祉課まるごと支援班（保健センター）</v>
          </cell>
          <cell r="C22" t="str">
            <v>017-0292</v>
          </cell>
          <cell r="D22" t="str">
            <v>鹿角郡小坂町小坂字上谷地４１－１</v>
          </cell>
          <cell r="E22" t="str">
            <v>0186-29-3926</v>
          </cell>
          <cell r="H22" t="str">
            <v>***</v>
          </cell>
          <cell r="I22">
            <v>11825</v>
          </cell>
          <cell r="L22" t="str">
            <v>***</v>
          </cell>
          <cell r="M22">
            <v>6226</v>
          </cell>
          <cell r="N22">
            <v>5170</v>
          </cell>
          <cell r="Q22" t="str">
            <v>***</v>
          </cell>
          <cell r="R22">
            <v>10560</v>
          </cell>
          <cell r="S22">
            <v>11275</v>
          </cell>
          <cell r="V22" t="str">
            <v>第2期</v>
          </cell>
          <cell r="W22">
            <v>11275</v>
          </cell>
          <cell r="X22">
            <v>7678</v>
          </cell>
          <cell r="AA22" t="str">
            <v>第2期</v>
          </cell>
          <cell r="AB22">
            <v>7678</v>
          </cell>
          <cell r="AC22">
            <v>7678</v>
          </cell>
          <cell r="AF22" t="str">
            <v>第2期</v>
          </cell>
          <cell r="AG22">
            <v>7678</v>
          </cell>
          <cell r="AH22" t="str">
            <v>生後90月未満</v>
          </cell>
          <cell r="AI22">
            <v>8140</v>
          </cell>
          <cell r="AJ22" t="str">
            <v>生後90月以上</v>
          </cell>
          <cell r="AK22">
            <v>7315</v>
          </cell>
          <cell r="AL22">
            <v>10065</v>
          </cell>
          <cell r="AM22">
            <v>9119</v>
          </cell>
          <cell r="AN22">
            <v>12826</v>
          </cell>
          <cell r="AO22">
            <v>16940</v>
          </cell>
          <cell r="AR22">
            <v>9515</v>
          </cell>
          <cell r="AS22">
            <v>7273</v>
          </cell>
          <cell r="AT22">
            <v>15235</v>
          </cell>
          <cell r="AU22">
            <v>10208</v>
          </cell>
          <cell r="AX22" t="str">
            <v>一般</v>
          </cell>
          <cell r="AY22">
            <v>2000</v>
          </cell>
          <cell r="BB22" t="str">
            <v>一般</v>
          </cell>
          <cell r="BC22">
            <v>3000</v>
          </cell>
          <cell r="BF22" t="str">
            <v>無し</v>
          </cell>
          <cell r="BH22" t="str">
            <v>インフルエンザの実施期間は10月～2月</v>
          </cell>
          <cell r="BI22" t="str">
            <v>【インフルエンザ（高齢者）・高齢者用肺炎球菌】 生活保護受給世帯は全額助成</v>
          </cell>
          <cell r="BJ22" t="str">
            <v>印</v>
          </cell>
        </row>
        <row r="23">
          <cell r="A23" t="str">
            <v>上小阿仁村長　様</v>
          </cell>
          <cell r="B23" t="str">
            <v>住民福祉課</v>
          </cell>
          <cell r="C23" t="str">
            <v>018-4421</v>
          </cell>
          <cell r="D23" t="str">
            <v>北秋田郡上小阿仁村小沢田字向川原80</v>
          </cell>
          <cell r="E23" t="str">
            <v>0186-77-3008</v>
          </cell>
          <cell r="F23" t="str">
            <v>6歳未満</v>
          </cell>
          <cell r="G23">
            <v>11143</v>
          </cell>
          <cell r="H23" t="str">
            <v>6歳以上</v>
          </cell>
          <cell r="I23">
            <v>10318</v>
          </cell>
          <cell r="J23" t="str">
            <v>6歳未満</v>
          </cell>
          <cell r="K23">
            <v>4592</v>
          </cell>
          <cell r="L23" t="str">
            <v>6歳以上</v>
          </cell>
          <cell r="M23">
            <v>3800</v>
          </cell>
          <cell r="N23">
            <v>5111</v>
          </cell>
          <cell r="O23" t="str">
            <v>6歳未満</v>
          </cell>
          <cell r="P23">
            <v>9988</v>
          </cell>
          <cell r="Q23" t="str">
            <v>6歳以上</v>
          </cell>
          <cell r="R23">
            <v>9163</v>
          </cell>
          <cell r="S23">
            <v>10057</v>
          </cell>
          <cell r="V23" t="str">
            <v>第2期</v>
          </cell>
          <cell r="W23">
            <v>10057</v>
          </cell>
          <cell r="X23">
            <v>6154</v>
          </cell>
          <cell r="AA23" t="str">
            <v>第2期</v>
          </cell>
          <cell r="AB23">
            <v>6154</v>
          </cell>
          <cell r="AC23">
            <v>6154</v>
          </cell>
          <cell r="AF23" t="str">
            <v>第2期</v>
          </cell>
          <cell r="AG23">
            <v>6154</v>
          </cell>
          <cell r="AH23" t="str">
            <v>6歳未満</v>
          </cell>
          <cell r="AI23">
            <v>6922</v>
          </cell>
          <cell r="AJ23" t="str">
            <v>6歳以上</v>
          </cell>
          <cell r="AK23">
            <v>6130</v>
          </cell>
          <cell r="AL23">
            <v>6226</v>
          </cell>
          <cell r="AM23">
            <v>9273</v>
          </cell>
          <cell r="AN23">
            <v>11913</v>
          </cell>
          <cell r="AO23">
            <v>16698</v>
          </cell>
          <cell r="AR23">
            <v>8943</v>
          </cell>
          <cell r="AS23">
            <v>6494</v>
          </cell>
          <cell r="AT23">
            <v>15191</v>
          </cell>
          <cell r="AU23">
            <v>10461</v>
          </cell>
          <cell r="AV23" t="str">
            <v>内訳【一般　　人】</v>
          </cell>
          <cell r="AX23" t="str">
            <v>内訳【生保　　人】</v>
          </cell>
          <cell r="AZ23" t="str">
            <v>内訳【一般　　人】</v>
          </cell>
          <cell r="BB23" t="str">
            <v>内訳【生保　　人】</v>
          </cell>
          <cell r="BD23" t="str">
            <v>6歳未満</v>
          </cell>
          <cell r="BE23">
            <v>2733</v>
          </cell>
          <cell r="BF23" t="str">
            <v>6歳以上</v>
          </cell>
          <cell r="BG23">
            <v>1941</v>
          </cell>
          <cell r="BH23" t="str">
            <v>インフルエンザの実施期間は10月～2月</v>
          </cell>
          <cell r="BI23" t="str">
            <v>【インフルエンザ（高齢者）・高齢者用肺炎球菌】 全額助成：生活保護以外の一般の方も全額助成となります。 ［実費徴収免除者］欄に各医療機関の接種料金を入力してください。請求書を印刷後、接種件数の内訳を手書きにて再掲願います→例【一般○○人】【生保○人】</v>
          </cell>
          <cell r="BJ23" t="str">
            <v>印</v>
          </cell>
        </row>
        <row r="24">
          <cell r="A24" t="str">
            <v>藤里町長　様</v>
          </cell>
          <cell r="B24" t="str">
            <v>町民課</v>
          </cell>
          <cell r="C24" t="str">
            <v>018-3201</v>
          </cell>
          <cell r="D24" t="str">
            <v>山本郡藤里町藤琴字藤琴８</v>
          </cell>
          <cell r="E24" t="str">
            <v>0185-79-2113</v>
          </cell>
          <cell r="H24" t="str">
            <v>***</v>
          </cell>
          <cell r="I24">
            <v>11280</v>
          </cell>
          <cell r="L24" t="str">
            <v>***</v>
          </cell>
          <cell r="N24">
            <v>4810</v>
          </cell>
          <cell r="Q24" t="str">
            <v>***</v>
          </cell>
          <cell r="R24">
            <v>10125</v>
          </cell>
          <cell r="S24">
            <v>10840</v>
          </cell>
          <cell r="V24" t="str">
            <v>第2期</v>
          </cell>
          <cell r="W24">
            <v>10840</v>
          </cell>
          <cell r="X24">
            <v>7243</v>
          </cell>
          <cell r="AA24" t="str">
            <v>第2期</v>
          </cell>
          <cell r="AB24">
            <v>7243</v>
          </cell>
          <cell r="AC24">
            <v>7243</v>
          </cell>
          <cell r="AF24" t="str">
            <v>第2期</v>
          </cell>
          <cell r="AG24">
            <v>7243</v>
          </cell>
          <cell r="AJ24" t="str">
            <v>***</v>
          </cell>
          <cell r="AK24">
            <v>7705</v>
          </cell>
          <cell r="AL24">
            <v>9630</v>
          </cell>
          <cell r="AM24">
            <v>8684</v>
          </cell>
          <cell r="AN24">
            <v>12391</v>
          </cell>
          <cell r="AO24">
            <v>16580</v>
          </cell>
          <cell r="AR24">
            <v>9080</v>
          </cell>
          <cell r="AS24">
            <v>6796</v>
          </cell>
          <cell r="AT24">
            <v>14800</v>
          </cell>
          <cell r="AU24">
            <v>9773</v>
          </cell>
          <cell r="AX24" t="str">
            <v>一般</v>
          </cell>
          <cell r="AY24">
            <v>1400</v>
          </cell>
          <cell r="BB24" t="str">
            <v>一般</v>
          </cell>
          <cell r="BC24">
            <v>4000</v>
          </cell>
          <cell r="BF24" t="str">
            <v>無し</v>
          </cell>
          <cell r="BH24" t="str">
            <v>インフルエンザの実施期間は10月～2月</v>
          </cell>
          <cell r="BI24" t="str">
            <v>【インフルエンザ（高齢者）・高齢者用肺炎球菌】 生活保護法による被保護世帯に属する者は接種料金無料</v>
          </cell>
          <cell r="BJ24" t="str">
            <v>印</v>
          </cell>
        </row>
        <row r="25">
          <cell r="A25" t="str">
            <v>三種町長　様</v>
          </cell>
          <cell r="B25" t="str">
            <v>健康推進課保健係（保健センター）</v>
          </cell>
          <cell r="C25" t="str">
            <v>018-2303</v>
          </cell>
          <cell r="D25" t="str">
            <v>山本郡三種町森岳字上台９３－５</v>
          </cell>
          <cell r="E25" t="str">
            <v>0185-83-5555</v>
          </cell>
          <cell r="H25" t="str">
            <v>***</v>
          </cell>
          <cell r="I25">
            <v>11280</v>
          </cell>
          <cell r="L25" t="str">
            <v>***</v>
          </cell>
          <cell r="M25">
            <v>5791</v>
          </cell>
          <cell r="N25">
            <v>4810</v>
          </cell>
          <cell r="Q25" t="str">
            <v>***</v>
          </cell>
          <cell r="R25">
            <v>10125</v>
          </cell>
          <cell r="S25">
            <v>10840</v>
          </cell>
          <cell r="V25" t="str">
            <v>第2期</v>
          </cell>
          <cell r="W25">
            <v>10840</v>
          </cell>
          <cell r="X25">
            <v>7243</v>
          </cell>
          <cell r="AA25" t="str">
            <v>第2期</v>
          </cell>
          <cell r="AB25">
            <v>7243</v>
          </cell>
          <cell r="AC25">
            <v>7243</v>
          </cell>
          <cell r="AF25" t="str">
            <v>第2期</v>
          </cell>
          <cell r="AG25">
            <v>7243</v>
          </cell>
          <cell r="AJ25" t="str">
            <v>***</v>
          </cell>
          <cell r="AK25">
            <v>7705</v>
          </cell>
          <cell r="AL25">
            <v>9630</v>
          </cell>
          <cell r="AM25">
            <v>8684</v>
          </cell>
          <cell r="AN25">
            <v>12391</v>
          </cell>
          <cell r="AO25">
            <v>16580</v>
          </cell>
          <cell r="AR25">
            <v>9080</v>
          </cell>
          <cell r="AS25">
            <v>6796</v>
          </cell>
          <cell r="AT25">
            <v>14800</v>
          </cell>
          <cell r="AU25">
            <v>9773</v>
          </cell>
          <cell r="AX25" t="str">
            <v>一般</v>
          </cell>
          <cell r="AY25">
            <v>1400</v>
          </cell>
          <cell r="BB25" t="str">
            <v>一般</v>
          </cell>
          <cell r="BC25">
            <v>4000</v>
          </cell>
          <cell r="BF25" t="str">
            <v>無し</v>
          </cell>
          <cell r="BH25" t="str">
            <v>インフルエンザの実施期間は10月～2月</v>
          </cell>
          <cell r="BI25" t="str">
            <v>【インフルエンザ（高齢者）・高齢者用肺炎球菌】生活保護受給者は全額助成。接種料金が委託料に満たない場合はその金額</v>
          </cell>
          <cell r="BJ25" t="str">
            <v>印</v>
          </cell>
        </row>
        <row r="26">
          <cell r="A26" t="str">
            <v>八峰町長　様</v>
          </cell>
          <cell r="B26" t="str">
            <v>福祉保健課</v>
          </cell>
          <cell r="C26" t="str">
            <v>018-2502</v>
          </cell>
          <cell r="D26" t="str">
            <v>山本郡八峰町峰浜目名潟字目長田１１８</v>
          </cell>
          <cell r="E26" t="str">
            <v>0185-76-4608</v>
          </cell>
          <cell r="H26" t="str">
            <v>***</v>
          </cell>
          <cell r="I26">
            <v>11280</v>
          </cell>
          <cell r="L26" t="str">
            <v>***</v>
          </cell>
          <cell r="N26">
            <v>4810</v>
          </cell>
          <cell r="Q26" t="str">
            <v>***</v>
          </cell>
          <cell r="R26">
            <v>10125</v>
          </cell>
          <cell r="S26">
            <v>10840</v>
          </cell>
          <cell r="V26" t="str">
            <v>第2期</v>
          </cell>
          <cell r="W26">
            <v>10840</v>
          </cell>
          <cell r="X26">
            <v>7243</v>
          </cell>
          <cell r="AA26" t="str">
            <v>第2期</v>
          </cell>
          <cell r="AB26">
            <v>7243</v>
          </cell>
          <cell r="AC26">
            <v>7243</v>
          </cell>
          <cell r="AF26" t="str">
            <v>第2期</v>
          </cell>
          <cell r="AG26">
            <v>7243</v>
          </cell>
          <cell r="AJ26" t="str">
            <v>***</v>
          </cell>
          <cell r="AK26">
            <v>7705</v>
          </cell>
          <cell r="AL26">
            <v>9630</v>
          </cell>
          <cell r="AM26">
            <v>8684</v>
          </cell>
          <cell r="AN26">
            <v>12391</v>
          </cell>
          <cell r="AO26">
            <v>16580</v>
          </cell>
          <cell r="AR26">
            <v>9080</v>
          </cell>
          <cell r="AS26">
            <v>6796</v>
          </cell>
          <cell r="AT26">
            <v>14800</v>
          </cell>
          <cell r="AU26">
            <v>9773</v>
          </cell>
          <cell r="AX26" t="str">
            <v>一般</v>
          </cell>
          <cell r="AY26">
            <v>1400</v>
          </cell>
          <cell r="BB26" t="str">
            <v>一般</v>
          </cell>
          <cell r="BC26">
            <v>4000</v>
          </cell>
          <cell r="BF26" t="str">
            <v>無し</v>
          </cell>
          <cell r="BH26" t="str">
            <v>インフルエンザの実施期間は10月～2月</v>
          </cell>
          <cell r="BI26" t="str">
            <v>【インフルエンザ（高齢者）・高齢者用肺炎球菌】 生活保護法による被保護世帯に属する者は全額助成</v>
          </cell>
          <cell r="BJ26" t="str">
            <v>印</v>
          </cell>
        </row>
        <row r="27">
          <cell r="A27" t="str">
            <v>五城目町長　様</v>
          </cell>
          <cell r="B27" t="str">
            <v>健康福祉課</v>
          </cell>
          <cell r="C27" t="str">
            <v>018-1792</v>
          </cell>
          <cell r="D27" t="str">
            <v>南秋田郡五城目町西磯ノ目一丁目１－１</v>
          </cell>
          <cell r="E27" t="str">
            <v>018-852-5180</v>
          </cell>
          <cell r="H27" t="str">
            <v>***</v>
          </cell>
          <cell r="I27">
            <v>10901</v>
          </cell>
          <cell r="L27" t="str">
            <v>***</v>
          </cell>
          <cell r="N27">
            <v>4944</v>
          </cell>
          <cell r="Q27" t="str">
            <v>***</v>
          </cell>
          <cell r="R27">
            <v>9999</v>
          </cell>
          <cell r="S27">
            <v>12117</v>
          </cell>
          <cell r="T27" t="str">
            <v>第2期 5歳児</v>
          </cell>
          <cell r="U27">
            <v>10747</v>
          </cell>
          <cell r="V27" t="str">
            <v>第2期 6歳児</v>
          </cell>
          <cell r="W27">
            <v>9922</v>
          </cell>
          <cell r="X27">
            <v>8767</v>
          </cell>
          <cell r="Y27" t="str">
            <v>第2期 5歳児</v>
          </cell>
          <cell r="Z27">
            <v>7337</v>
          </cell>
          <cell r="AA27" t="str">
            <v>第2期 6歳児</v>
          </cell>
          <cell r="AB27">
            <v>6512</v>
          </cell>
          <cell r="AC27">
            <v>8756</v>
          </cell>
          <cell r="AD27" t="str">
            <v>第2期 5歳児</v>
          </cell>
          <cell r="AE27">
            <v>7326</v>
          </cell>
          <cell r="AF27" t="str">
            <v>第2期 6歳児</v>
          </cell>
          <cell r="AG27">
            <v>6501</v>
          </cell>
          <cell r="AJ27" t="str">
            <v>***</v>
          </cell>
          <cell r="AK27">
            <v>6933</v>
          </cell>
          <cell r="AL27">
            <v>11110</v>
          </cell>
          <cell r="AM27">
            <v>8411</v>
          </cell>
          <cell r="AN27">
            <v>11533</v>
          </cell>
          <cell r="AO27">
            <v>15675</v>
          </cell>
          <cell r="AR27">
            <v>10516</v>
          </cell>
          <cell r="AS27">
            <v>7020</v>
          </cell>
          <cell r="AT27">
            <v>15873</v>
          </cell>
          <cell r="AU27">
            <v>11187</v>
          </cell>
          <cell r="AX27" t="str">
            <v>一般</v>
          </cell>
          <cell r="AY27">
            <v>1500</v>
          </cell>
          <cell r="BB27" t="str">
            <v>一般</v>
          </cell>
          <cell r="BC27">
            <v>3000</v>
          </cell>
          <cell r="BF27" t="str">
            <v>無し</v>
          </cell>
          <cell r="BH27" t="str">
            <v>インフルエンザの実施期間は10月～2月</v>
          </cell>
          <cell r="BI27" t="str">
            <v>【インフルエンザ（高齢者）・高齢者用肺炎球菌】生保全額助成。接種料金が委託料に満たない場合はその金額</v>
          </cell>
          <cell r="BJ27" t="str">
            <v>印</v>
          </cell>
        </row>
        <row r="28">
          <cell r="A28" t="str">
            <v>八郎潟町長　様</v>
          </cell>
          <cell r="B28" t="str">
            <v>保健センター</v>
          </cell>
          <cell r="C28" t="str">
            <v>018-1616</v>
          </cell>
          <cell r="D28" t="str">
            <v>南秋田郡八郎潟町字大道８４</v>
          </cell>
          <cell r="E28" t="str">
            <v>018-875-2800</v>
          </cell>
          <cell r="H28" t="str">
            <v>***</v>
          </cell>
          <cell r="I28">
            <v>10901</v>
          </cell>
          <cell r="L28" t="str">
            <v>***</v>
          </cell>
          <cell r="M28">
            <v>5665</v>
          </cell>
          <cell r="N28">
            <v>4944</v>
          </cell>
          <cell r="Q28" t="str">
            <v>***</v>
          </cell>
          <cell r="R28">
            <v>9999</v>
          </cell>
          <cell r="S28">
            <v>12117</v>
          </cell>
          <cell r="T28" t="str">
            <v>第2期 5歳児</v>
          </cell>
          <cell r="U28">
            <v>10747</v>
          </cell>
          <cell r="V28" t="str">
            <v>第2期 6歳児</v>
          </cell>
          <cell r="W28">
            <v>9922</v>
          </cell>
          <cell r="X28">
            <v>8767</v>
          </cell>
          <cell r="Y28" t="str">
            <v>第2期 5歳児</v>
          </cell>
          <cell r="Z28">
            <v>7337</v>
          </cell>
          <cell r="AA28" t="str">
            <v>第2期 6歳児</v>
          </cell>
          <cell r="AB28">
            <v>6512</v>
          </cell>
          <cell r="AC28">
            <v>8756</v>
          </cell>
          <cell r="AD28" t="str">
            <v>第2期 5歳児</v>
          </cell>
          <cell r="AE28">
            <v>7326</v>
          </cell>
          <cell r="AF28" t="str">
            <v>第2期 6歳児</v>
          </cell>
          <cell r="AG28">
            <v>6501</v>
          </cell>
          <cell r="AJ28" t="str">
            <v>***</v>
          </cell>
          <cell r="AK28">
            <v>6933</v>
          </cell>
          <cell r="AL28">
            <v>11110</v>
          </cell>
          <cell r="AM28">
            <v>8411</v>
          </cell>
          <cell r="AN28">
            <v>11533</v>
          </cell>
          <cell r="AO28">
            <v>15675</v>
          </cell>
          <cell r="AR28">
            <v>10516</v>
          </cell>
          <cell r="AS28">
            <v>7020</v>
          </cell>
          <cell r="AT28">
            <v>15873</v>
          </cell>
          <cell r="AU28">
            <v>11187</v>
          </cell>
          <cell r="AX28" t="str">
            <v>一般</v>
          </cell>
          <cell r="AY28">
            <v>1500</v>
          </cell>
          <cell r="BB28" t="str">
            <v>一般</v>
          </cell>
          <cell r="BC28">
            <v>3000</v>
          </cell>
          <cell r="BF28" t="str">
            <v>無し</v>
          </cell>
          <cell r="BH28" t="str">
            <v>インフルエンザの実施期間は10月～2月</v>
          </cell>
          <cell r="BI28" t="str">
            <v>【インフルエンザ（高齢者）】 生保・非課税全額補助
【高齢者用肺炎球菌】 生保全額補助</v>
          </cell>
          <cell r="BJ28" t="str">
            <v>印</v>
          </cell>
        </row>
        <row r="29">
          <cell r="A29" t="str">
            <v>井川町長　様</v>
          </cell>
          <cell r="B29" t="str">
            <v>健康福祉課</v>
          </cell>
          <cell r="C29" t="str">
            <v>018-1596</v>
          </cell>
          <cell r="D29" t="str">
            <v>南秋田郡井川町北川尻字海老沢樋ノ口７８－１</v>
          </cell>
          <cell r="E29" t="str">
            <v>018-874-3300</v>
          </cell>
          <cell r="H29" t="str">
            <v>***</v>
          </cell>
          <cell r="I29">
            <v>10901</v>
          </cell>
          <cell r="L29" t="str">
            <v>***</v>
          </cell>
          <cell r="M29">
            <v>5665</v>
          </cell>
          <cell r="N29">
            <v>4944</v>
          </cell>
          <cell r="Q29" t="str">
            <v>***</v>
          </cell>
          <cell r="R29">
            <v>9999</v>
          </cell>
          <cell r="S29">
            <v>12117</v>
          </cell>
          <cell r="T29" t="str">
            <v>第2期 5歳児</v>
          </cell>
          <cell r="U29">
            <v>10747</v>
          </cell>
          <cell r="V29" t="str">
            <v>第2期 6歳児</v>
          </cell>
          <cell r="W29">
            <v>9922</v>
          </cell>
          <cell r="X29">
            <v>8767</v>
          </cell>
          <cell r="Y29" t="str">
            <v>第2期 5歳児</v>
          </cell>
          <cell r="Z29">
            <v>7337</v>
          </cell>
          <cell r="AA29" t="str">
            <v>第2期 6歳児</v>
          </cell>
          <cell r="AB29">
            <v>6512</v>
          </cell>
          <cell r="AC29">
            <v>8756</v>
          </cell>
          <cell r="AD29" t="str">
            <v>第2期 5歳児</v>
          </cell>
          <cell r="AE29">
            <v>7326</v>
          </cell>
          <cell r="AF29" t="str">
            <v>第2期 6歳児</v>
          </cell>
          <cell r="AG29">
            <v>6501</v>
          </cell>
          <cell r="AJ29" t="str">
            <v>***</v>
          </cell>
          <cell r="AK29">
            <v>6933</v>
          </cell>
          <cell r="AL29">
            <v>11110</v>
          </cell>
          <cell r="AM29">
            <v>8411</v>
          </cell>
          <cell r="AN29">
            <v>11533</v>
          </cell>
          <cell r="AO29">
            <v>15675</v>
          </cell>
          <cell r="AR29">
            <v>10516</v>
          </cell>
          <cell r="AS29">
            <v>7020</v>
          </cell>
          <cell r="AT29">
            <v>15873</v>
          </cell>
          <cell r="AU29">
            <v>11187</v>
          </cell>
          <cell r="AX29" t="str">
            <v>一般</v>
          </cell>
          <cell r="AY29">
            <v>1500</v>
          </cell>
          <cell r="BB29" t="str">
            <v>一般</v>
          </cell>
          <cell r="BC29">
            <v>3000</v>
          </cell>
          <cell r="BF29" t="str">
            <v>無し</v>
          </cell>
          <cell r="BH29" t="str">
            <v>インフルエンザの実施期間は10月～2月</v>
          </cell>
          <cell r="BI29" t="str">
            <v>請求書は小児用と成人用（インフルエンザ･肺炎球菌）で分ける。生保は全額負担。</v>
          </cell>
          <cell r="BJ29" t="str">
            <v>印</v>
          </cell>
        </row>
        <row r="30">
          <cell r="A30" t="str">
            <v>大潟村長　様</v>
          </cell>
          <cell r="B30" t="str">
            <v>保健センター</v>
          </cell>
          <cell r="C30" t="str">
            <v>010-0443</v>
          </cell>
          <cell r="D30" t="str">
            <v>南秋田郡大潟村字中央１－１３</v>
          </cell>
          <cell r="E30" t="str">
            <v>0185-45-2613</v>
          </cell>
          <cell r="H30" t="str">
            <v>***</v>
          </cell>
          <cell r="I30">
            <v>10901</v>
          </cell>
          <cell r="L30" t="str">
            <v>***</v>
          </cell>
          <cell r="M30">
            <v>5665</v>
          </cell>
          <cell r="N30">
            <v>4944</v>
          </cell>
          <cell r="Q30" t="str">
            <v>***</v>
          </cell>
          <cell r="R30">
            <v>9999</v>
          </cell>
          <cell r="S30">
            <v>12177</v>
          </cell>
          <cell r="T30" t="str">
            <v>第2期 5歳児</v>
          </cell>
          <cell r="U30">
            <v>10747</v>
          </cell>
          <cell r="V30" t="str">
            <v>第2期 6歳児</v>
          </cell>
          <cell r="W30">
            <v>9922</v>
          </cell>
          <cell r="X30">
            <v>8767</v>
          </cell>
          <cell r="Y30" t="str">
            <v>第2期 5歳児</v>
          </cell>
          <cell r="Z30">
            <v>7337</v>
          </cell>
          <cell r="AA30" t="str">
            <v>第2期 6歳児</v>
          </cell>
          <cell r="AB30">
            <v>6512</v>
          </cell>
          <cell r="AC30">
            <v>8756</v>
          </cell>
          <cell r="AD30" t="str">
            <v>第2期 5歳児</v>
          </cell>
          <cell r="AE30">
            <v>7326</v>
          </cell>
          <cell r="AF30" t="str">
            <v>第2期 6歳児</v>
          </cell>
          <cell r="AG30">
            <v>6501</v>
          </cell>
          <cell r="AJ30" t="str">
            <v>***</v>
          </cell>
          <cell r="AK30">
            <v>6933</v>
          </cell>
          <cell r="AL30">
            <v>11110</v>
          </cell>
          <cell r="AM30">
            <v>8319</v>
          </cell>
          <cell r="AN30">
            <v>11288</v>
          </cell>
          <cell r="AO30">
            <v>16764</v>
          </cell>
          <cell r="AP30">
            <v>15950</v>
          </cell>
          <cell r="AQ30">
            <v>25012</v>
          </cell>
          <cell r="AR30">
            <v>10450</v>
          </cell>
          <cell r="AS30">
            <v>7018</v>
          </cell>
          <cell r="AT30">
            <v>16445</v>
          </cell>
          <cell r="AU30">
            <v>11036</v>
          </cell>
          <cell r="AX30" t="str">
            <v>一般</v>
          </cell>
          <cell r="AY30">
            <v>1500</v>
          </cell>
          <cell r="BB30" t="str">
            <v>一般</v>
          </cell>
          <cell r="BC30">
            <v>3000</v>
          </cell>
          <cell r="BF30" t="str">
            <v>無し</v>
          </cell>
          <cell r="BH30" t="str">
            <v>インフルエンザの実施期間は10月～2月</v>
          </cell>
          <cell r="BI30" t="str">
            <v>【インフルエンザ（高齢者）・高齢者用肺炎球菌】 他のワクチンと請求書を分ける。生保は全額負担。</v>
          </cell>
          <cell r="BJ30" t="str">
            <v>印</v>
          </cell>
        </row>
        <row r="31">
          <cell r="A31" t="str">
            <v>美郷町長　様</v>
          </cell>
          <cell r="B31" t="str">
            <v>福祉保健課</v>
          </cell>
          <cell r="C31" t="str">
            <v>019-1541</v>
          </cell>
          <cell r="D31" t="str">
            <v>仙北郡美郷町土崎字上野乙１７０－１０</v>
          </cell>
          <cell r="E31" t="str">
            <v>0187-84-4900</v>
          </cell>
          <cell r="H31" t="str">
            <v>***</v>
          </cell>
          <cell r="I31">
            <v>11445</v>
          </cell>
          <cell r="L31" t="str">
            <v>***</v>
          </cell>
          <cell r="M31">
            <v>5879</v>
          </cell>
          <cell r="N31">
            <v>5725</v>
          </cell>
          <cell r="Q31" t="str">
            <v>***</v>
          </cell>
          <cell r="R31">
            <v>10290</v>
          </cell>
          <cell r="S31">
            <v>10868</v>
          </cell>
          <cell r="V31" t="str">
            <v>第2期</v>
          </cell>
          <cell r="W31">
            <v>10868</v>
          </cell>
          <cell r="X31">
            <v>6848</v>
          </cell>
          <cell r="AA31" t="str">
            <v>第2期</v>
          </cell>
          <cell r="AB31">
            <v>6848</v>
          </cell>
          <cell r="AC31">
            <v>6848</v>
          </cell>
          <cell r="AF31" t="str">
            <v>第2期</v>
          </cell>
          <cell r="AG31">
            <v>6848</v>
          </cell>
          <cell r="AJ31" t="str">
            <v>***</v>
          </cell>
          <cell r="AK31">
            <v>7859</v>
          </cell>
          <cell r="AL31">
            <v>9795</v>
          </cell>
          <cell r="AM31">
            <v>8382</v>
          </cell>
          <cell r="AN31">
            <v>10916</v>
          </cell>
          <cell r="AO31">
            <v>16500</v>
          </cell>
          <cell r="AR31">
            <v>9245</v>
          </cell>
          <cell r="AS31">
            <v>6574</v>
          </cell>
          <cell r="AT31">
            <v>14883</v>
          </cell>
          <cell r="AU31">
            <v>9856</v>
          </cell>
          <cell r="AX31" t="str">
            <v>一般</v>
          </cell>
          <cell r="AY31">
            <v>2000</v>
          </cell>
          <cell r="BB31" t="str">
            <v>一般</v>
          </cell>
          <cell r="BC31">
            <v>3000</v>
          </cell>
          <cell r="BF31" t="str">
            <v>無し</v>
          </cell>
          <cell r="BH31" t="str">
            <v>インフルエンザの実施期間は10月～2月</v>
          </cell>
          <cell r="BI31" t="str">
            <v>【インフルエンザ（高齢者）・高齢者用肺炎球菌】 生保は各医療機関接種料金による。他の予防接種と請求書を分ける。</v>
          </cell>
          <cell r="BJ31" t="str">
            <v>印</v>
          </cell>
        </row>
        <row r="32">
          <cell r="A32" t="str">
            <v>羽後町長　様</v>
          </cell>
          <cell r="B32" t="str">
            <v>健康福祉課</v>
          </cell>
          <cell r="C32" t="str">
            <v>012-1131</v>
          </cell>
          <cell r="D32" t="str">
            <v>雄勝郡羽後町西馬音内字中野１７７</v>
          </cell>
          <cell r="E32" t="str">
            <v>0183-62-2111</v>
          </cell>
          <cell r="H32" t="str">
            <v>***</v>
          </cell>
          <cell r="I32">
            <v>11957</v>
          </cell>
          <cell r="L32" t="str">
            <v>***</v>
          </cell>
          <cell r="M32">
            <v>6468</v>
          </cell>
          <cell r="N32">
            <v>5412</v>
          </cell>
          <cell r="Q32" t="str">
            <v>***</v>
          </cell>
          <cell r="R32">
            <v>10802</v>
          </cell>
          <cell r="S32">
            <v>11462</v>
          </cell>
          <cell r="V32" t="str">
            <v>第2期</v>
          </cell>
          <cell r="W32">
            <v>11462</v>
          </cell>
          <cell r="X32">
            <v>7920</v>
          </cell>
          <cell r="AA32" t="str">
            <v>第2期</v>
          </cell>
          <cell r="AB32">
            <v>7920</v>
          </cell>
          <cell r="AC32">
            <v>7920</v>
          </cell>
          <cell r="AF32" t="str">
            <v>第2期</v>
          </cell>
          <cell r="AG32">
            <v>7920</v>
          </cell>
          <cell r="AH32" t="str">
            <v>6歳未満</v>
          </cell>
          <cell r="AI32">
            <v>8382</v>
          </cell>
          <cell r="AJ32" t="str">
            <v>6歳以上</v>
          </cell>
          <cell r="AK32">
            <v>7557</v>
          </cell>
          <cell r="AL32">
            <v>10307</v>
          </cell>
          <cell r="AM32">
            <v>9361</v>
          </cell>
          <cell r="AN32">
            <v>12727</v>
          </cell>
          <cell r="AO32">
            <v>17182</v>
          </cell>
          <cell r="AR32">
            <v>9757</v>
          </cell>
          <cell r="AS32">
            <v>7203</v>
          </cell>
          <cell r="AT32">
            <v>15235</v>
          </cell>
          <cell r="AU32">
            <v>10208</v>
          </cell>
          <cell r="AX32" t="str">
            <v>一般</v>
          </cell>
          <cell r="AY32">
            <v>1000</v>
          </cell>
          <cell r="BB32" t="str">
            <v>一般</v>
          </cell>
          <cell r="BC32">
            <v>3000</v>
          </cell>
          <cell r="BF32" t="str">
            <v>無し</v>
          </cell>
          <cell r="BH32" t="str">
            <v>インフルエンザの実施期間は10月～2月</v>
          </cell>
          <cell r="BI32" t="str">
            <v>【インフルエンザ（高齢者）・高齢者用肺炎球菌】 生活保護世帯は全額助成
押印を省略する場合、余白に「発行責任者職名・氏名、発行担当者職名・氏名、連絡先電話番号」を記載すること。</v>
          </cell>
          <cell r="BJ32" t="str">
            <v>印</v>
          </cell>
        </row>
        <row r="33">
          <cell r="A33" t="str">
            <v>東成瀬村長　様</v>
          </cell>
          <cell r="B33" t="str">
            <v>民生課</v>
          </cell>
          <cell r="C33" t="str">
            <v>019-0801</v>
          </cell>
          <cell r="D33" t="str">
            <v>雄勝郡東成瀬村田子内字仙人下３０－１</v>
          </cell>
          <cell r="E33" t="str">
            <v>0182-47-3405</v>
          </cell>
          <cell r="H33" t="str">
            <v>***</v>
          </cell>
          <cell r="I33">
            <v>11957</v>
          </cell>
          <cell r="L33" t="str">
            <v>***</v>
          </cell>
          <cell r="M33">
            <v>6468</v>
          </cell>
          <cell r="N33">
            <v>5412</v>
          </cell>
          <cell r="Q33" t="str">
            <v>***</v>
          </cell>
          <cell r="R33">
            <v>10802</v>
          </cell>
          <cell r="S33">
            <v>11462</v>
          </cell>
          <cell r="V33" t="str">
            <v>第2期</v>
          </cell>
          <cell r="W33">
            <v>11462</v>
          </cell>
          <cell r="X33">
            <v>7920</v>
          </cell>
          <cell r="AA33" t="str">
            <v>第2期</v>
          </cell>
          <cell r="AB33">
            <v>7920</v>
          </cell>
          <cell r="AC33">
            <v>7920</v>
          </cell>
          <cell r="AF33" t="str">
            <v>第2期</v>
          </cell>
          <cell r="AG33">
            <v>7920</v>
          </cell>
          <cell r="AH33" t="str">
            <v>6歳未満</v>
          </cell>
          <cell r="AI33">
            <v>8382</v>
          </cell>
          <cell r="AJ33" t="str">
            <v>6歳以上</v>
          </cell>
          <cell r="AK33">
            <v>7557</v>
          </cell>
          <cell r="AL33">
            <v>10307</v>
          </cell>
          <cell r="AM33">
            <v>9361</v>
          </cell>
          <cell r="AN33">
            <v>12727</v>
          </cell>
          <cell r="AO33">
            <v>17182</v>
          </cell>
          <cell r="AR33">
            <v>9757</v>
          </cell>
          <cell r="AS33">
            <v>7203</v>
          </cell>
          <cell r="AT33">
            <v>15235</v>
          </cell>
          <cell r="AU33">
            <v>10208</v>
          </cell>
          <cell r="AX33" t="str">
            <v>一般</v>
          </cell>
          <cell r="AY33">
            <v>1000</v>
          </cell>
          <cell r="BB33" t="str">
            <v>一般</v>
          </cell>
          <cell r="BC33">
            <v>3000</v>
          </cell>
          <cell r="BF33" t="str">
            <v>無し</v>
          </cell>
          <cell r="BH33" t="str">
            <v>インフルエンザの実施期間は10月～2月</v>
          </cell>
          <cell r="BI33" t="str">
            <v>【インフルエンザ（高齢者）・高齢者用肺炎球菌】 生保は全額補助。他の予防接種と請求書を分ける。</v>
          </cell>
          <cell r="BJ33" t="str">
            <v>印</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D582F-F030-4139-AB3B-FCE7D0D0CF09}">
  <sheetPr>
    <pageSetUpPr fitToPage="1"/>
  </sheetPr>
  <dimension ref="A1:IV66"/>
  <sheetViews>
    <sheetView tabSelected="1" view="pageBreakPreview" zoomScaleSheetLayoutView="100" workbookViewId="0">
      <selection activeCell="AZ8" sqref="AZ8"/>
    </sheetView>
  </sheetViews>
  <sheetFormatPr defaultColWidth="2.5703125" defaultRowHeight="18.75" customHeight="1" x14ac:dyDescent="0.15"/>
  <cols>
    <col min="1" max="6" width="3.42578125" style="1" customWidth="1"/>
    <col min="7" max="16" width="2.5703125" style="1"/>
    <col min="17" max="18" width="2.42578125" style="1" customWidth="1"/>
    <col min="19" max="26" width="2.5703125" style="1"/>
    <col min="27" max="28" width="2.42578125" style="1" customWidth="1"/>
    <col min="29" max="36" width="2.5703125" style="1"/>
    <col min="37" max="38" width="2.42578125" style="1" customWidth="1"/>
    <col min="39" max="16384" width="2.5703125" style="1"/>
  </cols>
  <sheetData>
    <row r="1" spans="1:41" ht="20.100000000000001" customHeight="1" x14ac:dyDescent="0.15">
      <c r="A1" s="195" t="s">
        <v>0</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N1" s="2"/>
    </row>
    <row r="2" spans="1:41" ht="20.100000000000001" customHeight="1" x14ac:dyDescent="0.15">
      <c r="A2" s="195" t="s">
        <v>1</v>
      </c>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row>
    <row r="3" spans="1:41" ht="20.100000000000001" customHeight="1" x14ac:dyDescent="0.15">
      <c r="AB3" s="1" t="s">
        <v>2</v>
      </c>
      <c r="AD3" s="189"/>
      <c r="AE3" s="189"/>
      <c r="AF3" s="3" t="s">
        <v>3</v>
      </c>
      <c r="AG3" s="189"/>
      <c r="AH3" s="189"/>
      <c r="AI3" s="3" t="s">
        <v>4</v>
      </c>
      <c r="AJ3" s="189"/>
      <c r="AK3" s="189"/>
      <c r="AL3" s="3" t="s">
        <v>5</v>
      </c>
    </row>
    <row r="4" spans="1:41" ht="20.100000000000001" customHeight="1" x14ac:dyDescent="0.15">
      <c r="A4" s="4"/>
      <c r="B4" s="5" t="s">
        <v>6</v>
      </c>
      <c r="D4" s="196" t="s">
        <v>7</v>
      </c>
      <c r="E4" s="196"/>
      <c r="F4" s="196"/>
      <c r="G4" s="196"/>
      <c r="H4" s="196"/>
      <c r="I4" s="196"/>
      <c r="J4" s="196"/>
      <c r="K4" s="196"/>
      <c r="L4" s="196"/>
      <c r="M4" s="196"/>
      <c r="N4" s="196"/>
      <c r="O4" s="196"/>
      <c r="P4" s="196"/>
      <c r="Q4" s="6"/>
      <c r="R4" s="6"/>
      <c r="AO4" s="7"/>
    </row>
    <row r="5" spans="1:41" ht="20.100000000000001" customHeight="1" x14ac:dyDescent="0.15">
      <c r="R5" s="194" t="s">
        <v>8</v>
      </c>
      <c r="S5" s="194"/>
      <c r="T5" s="194"/>
      <c r="U5" s="194"/>
      <c r="V5" s="194"/>
      <c r="W5" s="5" t="s">
        <v>9</v>
      </c>
      <c r="X5" s="188"/>
      <c r="Y5" s="188"/>
      <c r="Z5" s="188"/>
      <c r="AA5" s="188"/>
      <c r="AB5" s="188"/>
      <c r="AC5" s="188"/>
      <c r="AD5" s="188"/>
      <c r="AE5" s="188"/>
      <c r="AF5" s="188"/>
      <c r="AG5" s="188"/>
      <c r="AH5" s="188"/>
      <c r="AI5" s="188"/>
      <c r="AJ5" s="188"/>
      <c r="AK5" s="188"/>
      <c r="AM5" s="8"/>
    </row>
    <row r="6" spans="1:41" ht="20.100000000000001" customHeight="1" x14ac:dyDescent="0.15">
      <c r="R6" s="194" t="s">
        <v>10</v>
      </c>
      <c r="S6" s="194"/>
      <c r="T6" s="194"/>
      <c r="U6" s="194"/>
      <c r="V6" s="194"/>
      <c r="W6" s="5" t="s">
        <v>9</v>
      </c>
      <c r="X6" s="188"/>
      <c r="Y6" s="188"/>
      <c r="Z6" s="188"/>
      <c r="AA6" s="188"/>
      <c r="AB6" s="188"/>
      <c r="AC6" s="188"/>
      <c r="AD6" s="188"/>
      <c r="AE6" s="188"/>
      <c r="AF6" s="188"/>
      <c r="AG6" s="188"/>
      <c r="AH6" s="188"/>
      <c r="AI6" s="188"/>
      <c r="AJ6" s="188"/>
      <c r="AK6" s="188"/>
      <c r="AM6" s="8"/>
    </row>
    <row r="7" spans="1:41" ht="20.100000000000001" customHeight="1" x14ac:dyDescent="0.15">
      <c r="R7" s="194" t="s">
        <v>11</v>
      </c>
      <c r="S7" s="194"/>
      <c r="T7" s="194"/>
      <c r="U7" s="194"/>
      <c r="V7" s="194"/>
      <c r="W7" s="5" t="s">
        <v>9</v>
      </c>
      <c r="X7" s="188"/>
      <c r="Y7" s="188"/>
      <c r="Z7" s="188"/>
      <c r="AA7" s="188"/>
      <c r="AB7" s="188"/>
      <c r="AC7" s="188"/>
      <c r="AD7" s="188"/>
      <c r="AE7" s="188"/>
      <c r="AF7" s="188"/>
      <c r="AG7" s="188"/>
      <c r="AH7" s="188"/>
      <c r="AI7" s="188"/>
      <c r="AJ7" s="188"/>
      <c r="AK7" s="188"/>
      <c r="AM7" s="8"/>
    </row>
    <row r="8" spans="1:41" ht="20.100000000000001" customHeight="1" x14ac:dyDescent="0.15">
      <c r="R8" s="9"/>
      <c r="S8" s="9"/>
      <c r="T8" s="9"/>
      <c r="U8" s="9"/>
      <c r="V8" s="9"/>
      <c r="W8" s="5"/>
      <c r="X8" s="188"/>
      <c r="Y8" s="188"/>
      <c r="Z8" s="188"/>
      <c r="AA8" s="188"/>
      <c r="AB8" s="188"/>
      <c r="AC8" s="188"/>
      <c r="AD8" s="188"/>
      <c r="AE8" s="188"/>
      <c r="AF8" s="188"/>
      <c r="AG8" s="188"/>
      <c r="AH8" s="188"/>
      <c r="AI8" s="188"/>
      <c r="AJ8" s="188"/>
      <c r="AK8" s="10" t="str">
        <f>IF(VLOOKUP($D$4,[1]委託料一覧!A6:BJ33,62,FALSE)=0,"",VLOOKUP($D$4,[1]委託料一覧!A6:BJ33,62,FALSE))</f>
        <v>印</v>
      </c>
      <c r="AM8" s="8"/>
    </row>
    <row r="9" spans="1:41" ht="20.100000000000001" customHeight="1" x14ac:dyDescent="0.15">
      <c r="I9" s="11" t="s">
        <v>12</v>
      </c>
      <c r="J9" s="1" t="s">
        <v>2</v>
      </c>
      <c r="L9" s="189"/>
      <c r="M9" s="189"/>
      <c r="N9" s="5" t="s">
        <v>3</v>
      </c>
      <c r="O9" s="189"/>
      <c r="P9" s="189"/>
      <c r="Q9" s="190" t="s">
        <v>13</v>
      </c>
      <c r="R9" s="190"/>
      <c r="S9" s="1" t="s">
        <v>14</v>
      </c>
    </row>
    <row r="10" spans="1:41" s="12" customFormat="1" ht="9.9499999999999993" customHeight="1" x14ac:dyDescent="0.15"/>
    <row r="11" spans="1:41" s="12" customFormat="1" ht="18.75" customHeight="1" x14ac:dyDescent="0.15">
      <c r="I11" s="191" t="s">
        <v>15</v>
      </c>
      <c r="J11" s="191"/>
      <c r="K11" s="191"/>
      <c r="L11" s="191"/>
      <c r="M11" s="191"/>
      <c r="N11" s="191"/>
      <c r="O11" s="1"/>
      <c r="P11" s="192">
        <f>AC51</f>
        <v>0</v>
      </c>
      <c r="Q11" s="192"/>
      <c r="R11" s="192"/>
      <c r="S11" s="192"/>
      <c r="T11" s="192"/>
      <c r="U11" s="192"/>
      <c r="V11" s="192"/>
      <c r="W11" s="192"/>
      <c r="X11" s="192"/>
      <c r="Y11" s="192"/>
      <c r="Z11" s="192"/>
      <c r="AA11" s="192"/>
      <c r="AB11" s="193" t="s">
        <v>16</v>
      </c>
      <c r="AC11" s="193"/>
    </row>
    <row r="12" spans="1:41" s="12" customFormat="1" ht="9.9499999999999993" customHeight="1" x14ac:dyDescent="0.15">
      <c r="M12" s="13"/>
    </row>
    <row r="13" spans="1:41" s="12" customFormat="1" ht="16.5" customHeight="1" x14ac:dyDescent="0.15">
      <c r="A13" s="1" t="s">
        <v>17</v>
      </c>
      <c r="T13" s="185" t="str">
        <f>"( "&amp;[1]委託料一覧!A2&amp;" )"</f>
        <v>( 令和５年５月１日現在 )</v>
      </c>
      <c r="U13" s="185"/>
      <c r="V13" s="185"/>
      <c r="W13" s="185"/>
      <c r="X13" s="185"/>
      <c r="Y13" s="185"/>
      <c r="Z13" s="185"/>
      <c r="AA13" s="185"/>
    </row>
    <row r="14" spans="1:41" s="12" customFormat="1" ht="15" customHeight="1" x14ac:dyDescent="0.15">
      <c r="A14" s="30" t="s">
        <v>18</v>
      </c>
      <c r="B14" s="186"/>
      <c r="C14" s="186"/>
      <c r="D14" s="186"/>
      <c r="E14" s="186"/>
      <c r="F14" s="187"/>
      <c r="G14" s="30" t="s">
        <v>19</v>
      </c>
      <c r="H14" s="31"/>
      <c r="I14" s="31"/>
      <c r="J14" s="31"/>
      <c r="K14" s="32"/>
      <c r="L14" s="156" t="s">
        <v>20</v>
      </c>
      <c r="M14" s="156"/>
      <c r="N14" s="156"/>
      <c r="O14" s="156"/>
      <c r="P14" s="156"/>
      <c r="Q14" s="156"/>
      <c r="R14" s="156"/>
      <c r="S14" s="156" t="s">
        <v>21</v>
      </c>
      <c r="T14" s="156"/>
      <c r="U14" s="156"/>
      <c r="V14" s="156"/>
      <c r="W14" s="156"/>
      <c r="X14" s="156"/>
      <c r="Y14" s="156"/>
      <c r="Z14" s="156"/>
      <c r="AA14" s="156"/>
      <c r="AB14" s="156"/>
      <c r="AC14" s="156" t="s">
        <v>22</v>
      </c>
      <c r="AD14" s="156"/>
      <c r="AE14" s="156"/>
      <c r="AF14" s="156"/>
      <c r="AG14" s="156"/>
      <c r="AH14" s="156"/>
      <c r="AI14" s="156"/>
      <c r="AJ14" s="156"/>
      <c r="AK14" s="156"/>
      <c r="AL14" s="156"/>
    </row>
    <row r="15" spans="1:41" s="12" customFormat="1" ht="15" customHeight="1" x14ac:dyDescent="0.15">
      <c r="A15" s="77" t="s">
        <v>23</v>
      </c>
      <c r="B15" s="78"/>
      <c r="C15" s="78"/>
      <c r="D15" s="78"/>
      <c r="E15" s="78"/>
      <c r="F15" s="79"/>
      <c r="G15" s="184" t="str">
        <f>IF(VLOOKUP($D$4,[1]委託料一覧!A6:BI33,6,FALSE)=0,"",VLOOKUP($D$4,[1]委託料一覧!A6:BI33,6,FALSE))</f>
        <v/>
      </c>
      <c r="H15" s="104"/>
      <c r="I15" s="104"/>
      <c r="J15" s="104"/>
      <c r="K15" s="105"/>
      <c r="L15" s="181"/>
      <c r="M15" s="181"/>
      <c r="N15" s="181"/>
      <c r="O15" s="181"/>
      <c r="P15" s="128"/>
      <c r="Q15" s="105" t="str">
        <f>IF($G$15="","",IF(ISBLANK($L$15)=TRUE,"","人"))</f>
        <v/>
      </c>
      <c r="R15" s="182"/>
      <c r="S15" s="132">
        <f>VLOOKUP($D$4,[1]委託料一覧!$A$6:$BI$33,7,FALSE)</f>
        <v>0</v>
      </c>
      <c r="T15" s="133"/>
      <c r="U15" s="133"/>
      <c r="V15" s="133"/>
      <c r="W15" s="133"/>
      <c r="X15" s="133"/>
      <c r="Y15" s="133"/>
      <c r="Z15" s="133"/>
      <c r="AA15" s="105" t="str">
        <f>IF($S$15=0,"","円")</f>
        <v/>
      </c>
      <c r="AB15" s="182"/>
      <c r="AC15" s="183">
        <f t="shared" ref="AC15:AC50" si="0">L15*S15</f>
        <v>0</v>
      </c>
      <c r="AD15" s="183"/>
      <c r="AE15" s="183"/>
      <c r="AF15" s="183"/>
      <c r="AG15" s="183"/>
      <c r="AH15" s="183"/>
      <c r="AI15" s="183"/>
      <c r="AJ15" s="132"/>
      <c r="AK15" s="105" t="str">
        <f>IF($G$15="","",IF(ISBLANK($L$15)=TRUE,"","円"))</f>
        <v/>
      </c>
      <c r="AL15" s="182"/>
    </row>
    <row r="16" spans="1:41" s="12" customFormat="1" ht="15" customHeight="1" x14ac:dyDescent="0.15">
      <c r="A16" s="80"/>
      <c r="B16" s="81"/>
      <c r="C16" s="81"/>
      <c r="D16" s="81"/>
      <c r="E16" s="81"/>
      <c r="F16" s="82"/>
      <c r="G16" s="159" t="str">
        <f>IF(VLOOKUP($D$4,[1]委託料一覧!A6:BI33,8,FALSE)=0,"",VLOOKUP($D$4,[1]委託料一覧!A6:BI33,8,FALSE))</f>
        <v>***</v>
      </c>
      <c r="H16" s="160"/>
      <c r="I16" s="160"/>
      <c r="J16" s="160"/>
      <c r="K16" s="60"/>
      <c r="L16" s="153"/>
      <c r="M16" s="153"/>
      <c r="N16" s="153"/>
      <c r="O16" s="153"/>
      <c r="P16" s="154"/>
      <c r="Q16" s="60" t="str">
        <f>IF(ISBLANK($L$16)=TRUE,"","人")</f>
        <v/>
      </c>
      <c r="R16" s="61"/>
      <c r="S16" s="59">
        <f>VLOOKUP($D$4,[1]委託料一覧!A6:BI33,9,FALSE)</f>
        <v>10901</v>
      </c>
      <c r="T16" s="155"/>
      <c r="U16" s="155"/>
      <c r="V16" s="155"/>
      <c r="W16" s="155"/>
      <c r="X16" s="155"/>
      <c r="Y16" s="155"/>
      <c r="Z16" s="155"/>
      <c r="AA16" s="60" t="str">
        <f>IF($S$16=0,"","円")</f>
        <v>円</v>
      </c>
      <c r="AB16" s="61"/>
      <c r="AC16" s="58">
        <f t="shared" si="0"/>
        <v>0</v>
      </c>
      <c r="AD16" s="58"/>
      <c r="AE16" s="58"/>
      <c r="AF16" s="58"/>
      <c r="AG16" s="58"/>
      <c r="AH16" s="58"/>
      <c r="AI16" s="58"/>
      <c r="AJ16" s="59"/>
      <c r="AK16" s="60" t="str">
        <f>IF(ISBLANK($L$16)=TRUE,"","円")</f>
        <v/>
      </c>
      <c r="AL16" s="61"/>
    </row>
    <row r="17" spans="1:38" s="12" customFormat="1" ht="15" customHeight="1" x14ac:dyDescent="0.15">
      <c r="A17" s="77" t="s">
        <v>24</v>
      </c>
      <c r="B17" s="78"/>
      <c r="C17" s="78"/>
      <c r="D17" s="78"/>
      <c r="E17" s="78"/>
      <c r="F17" s="79"/>
      <c r="G17" s="184" t="str">
        <f>IF(VLOOKUP($D$4,[1]委託料一覧!A6:BI33,10,FALSE)=0,"",VLOOKUP($D$4,[1]委託料一覧!A6:BI33,10,FALSE))</f>
        <v/>
      </c>
      <c r="H17" s="104"/>
      <c r="I17" s="104"/>
      <c r="J17" s="104"/>
      <c r="K17" s="105"/>
      <c r="L17" s="181"/>
      <c r="M17" s="181"/>
      <c r="N17" s="181"/>
      <c r="O17" s="181"/>
      <c r="P17" s="128"/>
      <c r="Q17" s="105" t="str">
        <f>IF($G$17="","",IF(ISBLANK($L$17)=TRUE,"","人"))</f>
        <v/>
      </c>
      <c r="R17" s="182"/>
      <c r="S17" s="132">
        <f>VLOOKUP($D$4,[1]委託料一覧!$A$6:$BI$33,11,FALSE)</f>
        <v>0</v>
      </c>
      <c r="T17" s="133"/>
      <c r="U17" s="133"/>
      <c r="V17" s="133"/>
      <c r="W17" s="133"/>
      <c r="X17" s="133"/>
      <c r="Y17" s="133"/>
      <c r="Z17" s="133"/>
      <c r="AA17" s="105" t="str">
        <f>IF($S$17=0,"","円")</f>
        <v/>
      </c>
      <c r="AB17" s="182"/>
      <c r="AC17" s="132">
        <f t="shared" si="0"/>
        <v>0</v>
      </c>
      <c r="AD17" s="133"/>
      <c r="AE17" s="133"/>
      <c r="AF17" s="133"/>
      <c r="AG17" s="133"/>
      <c r="AH17" s="133"/>
      <c r="AI17" s="133"/>
      <c r="AJ17" s="133"/>
      <c r="AK17" s="105" t="str">
        <f>IF($G$17="","",IF(ISBLANK($L$17)=TRUE,"","円"))</f>
        <v/>
      </c>
      <c r="AL17" s="182"/>
    </row>
    <row r="18" spans="1:38" s="12" customFormat="1" ht="15" customHeight="1" x14ac:dyDescent="0.15">
      <c r="A18" s="80"/>
      <c r="B18" s="81"/>
      <c r="C18" s="81"/>
      <c r="D18" s="81"/>
      <c r="E18" s="81"/>
      <c r="F18" s="82"/>
      <c r="G18" s="159" t="str">
        <f>IF(VLOOKUP($D$4,[1]委託料一覧!A6:BI33,12,FALSE)=0,"",VLOOKUP($D$4,[1]委託料一覧!A6:BI33,12,FALSE))</f>
        <v>***</v>
      </c>
      <c r="H18" s="160"/>
      <c r="I18" s="160"/>
      <c r="J18" s="160"/>
      <c r="K18" s="60"/>
      <c r="L18" s="153"/>
      <c r="M18" s="153"/>
      <c r="N18" s="153"/>
      <c r="O18" s="153"/>
      <c r="P18" s="154"/>
      <c r="Q18" s="60" t="str">
        <f>IF(ISBLANK($L$18)=TRUE,"","人")</f>
        <v/>
      </c>
      <c r="R18" s="61"/>
      <c r="S18" s="59">
        <f>VLOOKUP($D$4,[1]委託料一覧!$A$6:$BI$33,13,FALSE)</f>
        <v>5665</v>
      </c>
      <c r="T18" s="155"/>
      <c r="U18" s="155"/>
      <c r="V18" s="155"/>
      <c r="W18" s="155"/>
      <c r="X18" s="155"/>
      <c r="Y18" s="155"/>
      <c r="Z18" s="155"/>
      <c r="AA18" s="60" t="str">
        <f>IF($S$18=0,"","円")</f>
        <v>円</v>
      </c>
      <c r="AB18" s="61"/>
      <c r="AC18" s="59">
        <f t="shared" si="0"/>
        <v>0</v>
      </c>
      <c r="AD18" s="155"/>
      <c r="AE18" s="155"/>
      <c r="AF18" s="155"/>
      <c r="AG18" s="155"/>
      <c r="AH18" s="155"/>
      <c r="AI18" s="155"/>
      <c r="AJ18" s="155"/>
      <c r="AK18" s="60" t="str">
        <f>IF(ISBLANK($L$18)=TRUE,"","円")</f>
        <v/>
      </c>
      <c r="AL18" s="61"/>
    </row>
    <row r="19" spans="1:38" s="12" customFormat="1" ht="15" customHeight="1" x14ac:dyDescent="0.15">
      <c r="A19" s="166" t="s">
        <v>25</v>
      </c>
      <c r="B19" s="167"/>
      <c r="C19" s="167"/>
      <c r="D19" s="167"/>
      <c r="E19" s="167"/>
      <c r="F19" s="167"/>
      <c r="G19" s="167"/>
      <c r="H19" s="167"/>
      <c r="I19" s="167"/>
      <c r="J19" s="167"/>
      <c r="K19" s="168"/>
      <c r="L19" s="161"/>
      <c r="M19" s="161"/>
      <c r="N19" s="161"/>
      <c r="O19" s="161"/>
      <c r="P19" s="162"/>
      <c r="Q19" s="32" t="str">
        <f>IF(ISBLANK($L$19)=TRUE,"","人")</f>
        <v/>
      </c>
      <c r="R19" s="156"/>
      <c r="S19" s="163">
        <f>VLOOKUP($D$4,[1]委託料一覧!$A$6:$BI$33,14,FALSE)</f>
        <v>4944</v>
      </c>
      <c r="T19" s="164"/>
      <c r="U19" s="164"/>
      <c r="V19" s="164"/>
      <c r="W19" s="164"/>
      <c r="X19" s="164"/>
      <c r="Y19" s="164"/>
      <c r="Z19" s="164"/>
      <c r="AA19" s="32" t="str">
        <f>IF($S$19=0,"","円")</f>
        <v>円</v>
      </c>
      <c r="AB19" s="156"/>
      <c r="AC19" s="165">
        <f t="shared" si="0"/>
        <v>0</v>
      </c>
      <c r="AD19" s="165"/>
      <c r="AE19" s="165"/>
      <c r="AF19" s="165"/>
      <c r="AG19" s="165"/>
      <c r="AH19" s="165"/>
      <c r="AI19" s="165"/>
      <c r="AJ19" s="163"/>
      <c r="AK19" s="32" t="str">
        <f>IF(ISBLANK($L$19)=TRUE,"","円")</f>
        <v/>
      </c>
      <c r="AL19" s="156"/>
    </row>
    <row r="20" spans="1:38" s="12" customFormat="1" ht="15" customHeight="1" x14ac:dyDescent="0.15">
      <c r="A20" s="77" t="s">
        <v>26</v>
      </c>
      <c r="B20" s="78"/>
      <c r="C20" s="78"/>
      <c r="D20" s="78"/>
      <c r="E20" s="78"/>
      <c r="F20" s="79"/>
      <c r="G20" s="184" t="str">
        <f>IF(VLOOKUP($D$4,[1]委託料一覧!A6:BI33,15,FALSE)=0,"",VLOOKUP($D$4,[1]委託料一覧!A6:BI33,15,FALSE))</f>
        <v/>
      </c>
      <c r="H20" s="104"/>
      <c r="I20" s="104"/>
      <c r="J20" s="104"/>
      <c r="K20" s="105"/>
      <c r="L20" s="181"/>
      <c r="M20" s="181"/>
      <c r="N20" s="181"/>
      <c r="O20" s="181"/>
      <c r="P20" s="128"/>
      <c r="Q20" s="104" t="str">
        <f>IF($G$20="","",IF(ISBLANK($L$20)=TRUE,"","人"))</f>
        <v/>
      </c>
      <c r="R20" s="105"/>
      <c r="S20" s="132">
        <f>VLOOKUP($D$4,[1]委託料一覧!$A$6:$BI$33,16,FALSE)</f>
        <v>0</v>
      </c>
      <c r="T20" s="133"/>
      <c r="U20" s="133"/>
      <c r="V20" s="133"/>
      <c r="W20" s="133"/>
      <c r="X20" s="133"/>
      <c r="Y20" s="133"/>
      <c r="Z20" s="133"/>
      <c r="AA20" s="105" t="str">
        <f>IF($S$20=0,"","円")</f>
        <v/>
      </c>
      <c r="AB20" s="182"/>
      <c r="AC20" s="183">
        <f t="shared" si="0"/>
        <v>0</v>
      </c>
      <c r="AD20" s="183"/>
      <c r="AE20" s="183"/>
      <c r="AF20" s="183"/>
      <c r="AG20" s="183"/>
      <c r="AH20" s="183"/>
      <c r="AI20" s="183"/>
      <c r="AJ20" s="132"/>
      <c r="AK20" s="105" t="str">
        <f>IF($G$20="","",IF(ISBLANK($L$20)=TRUE,"","円"))</f>
        <v/>
      </c>
      <c r="AL20" s="182"/>
    </row>
    <row r="21" spans="1:38" s="12" customFormat="1" ht="15" customHeight="1" x14ac:dyDescent="0.15">
      <c r="A21" s="80"/>
      <c r="B21" s="81"/>
      <c r="C21" s="81"/>
      <c r="D21" s="81"/>
      <c r="E21" s="81"/>
      <c r="F21" s="82"/>
      <c r="G21" s="159" t="str">
        <f>IF(VLOOKUP($D$4,[1]委託料一覧!A6:BI33,17,FALSE)=0,"",VLOOKUP($D$4,[1]委託料一覧!A6:BI33,17,FALSE))</f>
        <v>***</v>
      </c>
      <c r="H21" s="160"/>
      <c r="I21" s="160"/>
      <c r="J21" s="160"/>
      <c r="K21" s="60"/>
      <c r="L21" s="153"/>
      <c r="M21" s="153"/>
      <c r="N21" s="153"/>
      <c r="O21" s="153"/>
      <c r="P21" s="154"/>
      <c r="Q21" s="60" t="str">
        <f>IF(ISBLANK($L$21)=TRUE,"","人")</f>
        <v/>
      </c>
      <c r="R21" s="61"/>
      <c r="S21" s="59">
        <f>VLOOKUP($D$4,[1]委託料一覧!$A$6:$BI$33,18,FALSE)</f>
        <v>9999</v>
      </c>
      <c r="T21" s="155"/>
      <c r="U21" s="155"/>
      <c r="V21" s="155"/>
      <c r="W21" s="155"/>
      <c r="X21" s="155"/>
      <c r="Y21" s="155"/>
      <c r="Z21" s="155"/>
      <c r="AA21" s="60" t="str">
        <f>IF($S$21=0,"","円")</f>
        <v>円</v>
      </c>
      <c r="AB21" s="61"/>
      <c r="AC21" s="58">
        <f t="shared" si="0"/>
        <v>0</v>
      </c>
      <c r="AD21" s="58"/>
      <c r="AE21" s="58"/>
      <c r="AF21" s="58"/>
      <c r="AG21" s="58"/>
      <c r="AH21" s="58"/>
      <c r="AI21" s="58"/>
      <c r="AJ21" s="59"/>
      <c r="AK21" s="60" t="str">
        <f>IF(ISBLANK($L$21)=TRUE,"","円")</f>
        <v/>
      </c>
      <c r="AL21" s="61"/>
    </row>
    <row r="22" spans="1:38" s="12" customFormat="1" ht="15" customHeight="1" x14ac:dyDescent="0.15">
      <c r="A22" s="77" t="s">
        <v>27</v>
      </c>
      <c r="B22" s="143"/>
      <c r="C22" s="143"/>
      <c r="D22" s="143"/>
      <c r="E22" s="143"/>
      <c r="F22" s="144"/>
      <c r="G22" s="30" t="s">
        <v>28</v>
      </c>
      <c r="H22" s="31"/>
      <c r="I22" s="31"/>
      <c r="J22" s="31"/>
      <c r="K22" s="32"/>
      <c r="L22" s="161"/>
      <c r="M22" s="161"/>
      <c r="N22" s="161"/>
      <c r="O22" s="161"/>
      <c r="P22" s="162"/>
      <c r="Q22" s="32" t="str">
        <f>IF(ISBLANK($L$22)=TRUE,"","人")</f>
        <v/>
      </c>
      <c r="R22" s="156"/>
      <c r="S22" s="163">
        <f>VLOOKUP($D$4,[1]委託料一覧!$A$6:$BI$33,19,FALSE)</f>
        <v>12177</v>
      </c>
      <c r="T22" s="164"/>
      <c r="U22" s="164"/>
      <c r="V22" s="164"/>
      <c r="W22" s="164"/>
      <c r="X22" s="164"/>
      <c r="Y22" s="164"/>
      <c r="Z22" s="164"/>
      <c r="AA22" s="32" t="str">
        <f>IF($S$22=0,"","円")</f>
        <v>円</v>
      </c>
      <c r="AB22" s="156"/>
      <c r="AC22" s="165">
        <f t="shared" si="0"/>
        <v>0</v>
      </c>
      <c r="AD22" s="165"/>
      <c r="AE22" s="165"/>
      <c r="AF22" s="165"/>
      <c r="AG22" s="165"/>
      <c r="AH22" s="165"/>
      <c r="AI22" s="165"/>
      <c r="AJ22" s="163"/>
      <c r="AK22" s="32" t="str">
        <f>IF(ISBLANK($L$22)=TRUE,"","円")</f>
        <v/>
      </c>
      <c r="AL22" s="156"/>
    </row>
    <row r="23" spans="1:38" s="12" customFormat="1" ht="15" customHeight="1" x14ac:dyDescent="0.15">
      <c r="A23" s="145"/>
      <c r="B23" s="146"/>
      <c r="C23" s="146"/>
      <c r="D23" s="146"/>
      <c r="E23" s="146"/>
      <c r="F23" s="147"/>
      <c r="G23" s="184" t="str">
        <f>IF(VLOOKUP($D$4,[1]委託料一覧!A6:BI33,20,FALSE)=0,"",VLOOKUP($D$4,[1]委託料一覧!A6:BI33,20,FALSE))</f>
        <v>第2期 5歳児</v>
      </c>
      <c r="H23" s="104"/>
      <c r="I23" s="104"/>
      <c r="J23" s="104"/>
      <c r="K23" s="105"/>
      <c r="L23" s="181"/>
      <c r="M23" s="181"/>
      <c r="N23" s="181"/>
      <c r="O23" s="181"/>
      <c r="P23" s="128"/>
      <c r="Q23" s="105" t="str">
        <f>IF($G$23="","",IF(ISBLANK($L$23)=TRUE,"","人"))</f>
        <v/>
      </c>
      <c r="R23" s="182"/>
      <c r="S23" s="183">
        <f>VLOOKUP($D$4,[1]委託料一覧!$A$6:$BI$33,21,FALSE)</f>
        <v>10747</v>
      </c>
      <c r="T23" s="183"/>
      <c r="U23" s="183"/>
      <c r="V23" s="183"/>
      <c r="W23" s="183"/>
      <c r="X23" s="183"/>
      <c r="Y23" s="183"/>
      <c r="Z23" s="132"/>
      <c r="AA23" s="105" t="str">
        <f>IF($S$23=0,"","円")</f>
        <v>円</v>
      </c>
      <c r="AB23" s="182"/>
      <c r="AC23" s="183">
        <f t="shared" si="0"/>
        <v>0</v>
      </c>
      <c r="AD23" s="183"/>
      <c r="AE23" s="183"/>
      <c r="AF23" s="183"/>
      <c r="AG23" s="183"/>
      <c r="AH23" s="183"/>
      <c r="AI23" s="183"/>
      <c r="AJ23" s="132"/>
      <c r="AK23" s="105" t="str">
        <f>IF($G$23="","",IF(ISBLANK($L$23)=TRUE,"","円"))</f>
        <v/>
      </c>
      <c r="AL23" s="182"/>
    </row>
    <row r="24" spans="1:38" s="12" customFormat="1" ht="15" customHeight="1" x14ac:dyDescent="0.15">
      <c r="A24" s="148"/>
      <c r="B24" s="149"/>
      <c r="C24" s="149"/>
      <c r="D24" s="149"/>
      <c r="E24" s="149"/>
      <c r="F24" s="150"/>
      <c r="G24" s="159" t="str">
        <f>IF(VLOOKUP($D$4,[1]委託料一覧!A6:BI33,22,FALSE)=0,"",VLOOKUP($D$4,[1]委託料一覧!A6:BI33,22,FALSE))</f>
        <v>第2期 6歳児</v>
      </c>
      <c r="H24" s="160"/>
      <c r="I24" s="160"/>
      <c r="J24" s="160"/>
      <c r="K24" s="60"/>
      <c r="L24" s="153"/>
      <c r="M24" s="153"/>
      <c r="N24" s="153"/>
      <c r="O24" s="153"/>
      <c r="P24" s="154"/>
      <c r="Q24" s="60" t="str">
        <f>IF(ISBLANK($L$24)=TRUE,"","人")</f>
        <v/>
      </c>
      <c r="R24" s="61"/>
      <c r="S24" s="59">
        <f>VLOOKUP($D$4,[1]委託料一覧!$A$6:$BI$33,23,FALSE)</f>
        <v>9922</v>
      </c>
      <c r="T24" s="155"/>
      <c r="U24" s="155"/>
      <c r="V24" s="155"/>
      <c r="W24" s="155"/>
      <c r="X24" s="155"/>
      <c r="Y24" s="155"/>
      <c r="Z24" s="155"/>
      <c r="AA24" s="160" t="str">
        <f>IF($S$24=0,"","円")</f>
        <v>円</v>
      </c>
      <c r="AB24" s="60"/>
      <c r="AC24" s="58">
        <f t="shared" si="0"/>
        <v>0</v>
      </c>
      <c r="AD24" s="58"/>
      <c r="AE24" s="58"/>
      <c r="AF24" s="58"/>
      <c r="AG24" s="58"/>
      <c r="AH24" s="58"/>
      <c r="AI24" s="58"/>
      <c r="AJ24" s="59"/>
      <c r="AK24" s="60" t="str">
        <f>IF(ISBLANK($L$24)=TRUE,"","円")</f>
        <v/>
      </c>
      <c r="AL24" s="61"/>
    </row>
    <row r="25" spans="1:38" s="12" customFormat="1" ht="15" customHeight="1" x14ac:dyDescent="0.15">
      <c r="A25" s="77" t="s">
        <v>29</v>
      </c>
      <c r="B25" s="143"/>
      <c r="C25" s="143"/>
      <c r="D25" s="143"/>
      <c r="E25" s="143"/>
      <c r="F25" s="144"/>
      <c r="G25" s="30" t="s">
        <v>28</v>
      </c>
      <c r="H25" s="31"/>
      <c r="I25" s="31"/>
      <c r="J25" s="31"/>
      <c r="K25" s="32"/>
      <c r="L25" s="161"/>
      <c r="M25" s="161"/>
      <c r="N25" s="161"/>
      <c r="O25" s="161"/>
      <c r="P25" s="162"/>
      <c r="Q25" s="32" t="str">
        <f>IF(ISBLANK($L$25)=TRUE,"","人")</f>
        <v/>
      </c>
      <c r="R25" s="156"/>
      <c r="S25" s="163">
        <f>VLOOKUP($D$4,[1]委託料一覧!A6:BI33,24,FALSE)</f>
        <v>8767</v>
      </c>
      <c r="T25" s="164"/>
      <c r="U25" s="164"/>
      <c r="V25" s="164"/>
      <c r="W25" s="164"/>
      <c r="X25" s="164"/>
      <c r="Y25" s="164"/>
      <c r="Z25" s="164"/>
      <c r="AA25" s="32" t="str">
        <f>IF($S$25=0,"","円")</f>
        <v>円</v>
      </c>
      <c r="AB25" s="156"/>
      <c r="AC25" s="165">
        <f t="shared" si="0"/>
        <v>0</v>
      </c>
      <c r="AD25" s="165"/>
      <c r="AE25" s="165"/>
      <c r="AF25" s="165"/>
      <c r="AG25" s="165"/>
      <c r="AH25" s="165"/>
      <c r="AI25" s="165"/>
      <c r="AJ25" s="163"/>
      <c r="AK25" s="32" t="str">
        <f>IF(ISBLANK($L$25)=TRUE,"","円")</f>
        <v/>
      </c>
      <c r="AL25" s="156"/>
    </row>
    <row r="26" spans="1:38" s="12" customFormat="1" ht="15" customHeight="1" x14ac:dyDescent="0.15">
      <c r="A26" s="145"/>
      <c r="B26" s="146"/>
      <c r="C26" s="146"/>
      <c r="D26" s="146"/>
      <c r="E26" s="146"/>
      <c r="F26" s="147"/>
      <c r="G26" s="184" t="str">
        <f>IF(VLOOKUP($D$4,[1]委託料一覧!A6:BI33,25,FALSE)=0,"",VLOOKUP($D$4,[1]委託料一覧!A6:BI33,25,FALSE))</f>
        <v>第2期 5歳児</v>
      </c>
      <c r="H26" s="104"/>
      <c r="I26" s="104"/>
      <c r="J26" s="104"/>
      <c r="K26" s="105"/>
      <c r="L26" s="181"/>
      <c r="M26" s="181"/>
      <c r="N26" s="181"/>
      <c r="O26" s="181"/>
      <c r="P26" s="128"/>
      <c r="Q26" s="105" t="str">
        <f>IF($G$26="","",IF(ISBLANK($L$26)=TRUE,"","人"))</f>
        <v/>
      </c>
      <c r="R26" s="182"/>
      <c r="S26" s="183">
        <f>VLOOKUP($D$4,[1]委託料一覧!$A$6:$BI$33,26,FALSE)</f>
        <v>7337</v>
      </c>
      <c r="T26" s="183"/>
      <c r="U26" s="183"/>
      <c r="V26" s="183"/>
      <c r="W26" s="183"/>
      <c r="X26" s="183"/>
      <c r="Y26" s="183"/>
      <c r="Z26" s="132"/>
      <c r="AA26" s="105" t="str">
        <f>IF($S$26=0,"","円")</f>
        <v>円</v>
      </c>
      <c r="AB26" s="182"/>
      <c r="AC26" s="183">
        <f t="shared" si="0"/>
        <v>0</v>
      </c>
      <c r="AD26" s="183"/>
      <c r="AE26" s="183"/>
      <c r="AF26" s="183"/>
      <c r="AG26" s="183"/>
      <c r="AH26" s="183"/>
      <c r="AI26" s="183"/>
      <c r="AJ26" s="132"/>
      <c r="AK26" s="105" t="str">
        <f>IF($G$26="","",IF(ISBLANK($L$26)=TRUE,"","円"))</f>
        <v/>
      </c>
      <c r="AL26" s="182"/>
    </row>
    <row r="27" spans="1:38" s="12" customFormat="1" ht="15" customHeight="1" x14ac:dyDescent="0.15">
      <c r="A27" s="148"/>
      <c r="B27" s="149"/>
      <c r="C27" s="149"/>
      <c r="D27" s="149"/>
      <c r="E27" s="149"/>
      <c r="F27" s="150"/>
      <c r="G27" s="159" t="str">
        <f>IF(VLOOKUP($D$4,[1]委託料一覧!A6:BI33,27,FALSE)=0,"",VLOOKUP($D$4,[1]委託料一覧!A6:BI33,27,FALSE))</f>
        <v>第2期 6歳児</v>
      </c>
      <c r="H27" s="160"/>
      <c r="I27" s="160"/>
      <c r="J27" s="160"/>
      <c r="K27" s="60"/>
      <c r="L27" s="153"/>
      <c r="M27" s="153"/>
      <c r="N27" s="153"/>
      <c r="O27" s="153"/>
      <c r="P27" s="154"/>
      <c r="Q27" s="60" t="str">
        <f>IF(ISBLANK($L$27)=TRUE,"","人")</f>
        <v/>
      </c>
      <c r="R27" s="61"/>
      <c r="S27" s="59">
        <f>VLOOKUP($D$4,[1]委託料一覧!$A$6:$BI$33,28,FALSE)</f>
        <v>6512</v>
      </c>
      <c r="T27" s="155"/>
      <c r="U27" s="155"/>
      <c r="V27" s="155"/>
      <c r="W27" s="155"/>
      <c r="X27" s="155"/>
      <c r="Y27" s="155"/>
      <c r="Z27" s="155"/>
      <c r="AA27" s="60" t="str">
        <f>IF($S$27=0,"","円")</f>
        <v>円</v>
      </c>
      <c r="AB27" s="61"/>
      <c r="AC27" s="58">
        <f t="shared" si="0"/>
        <v>0</v>
      </c>
      <c r="AD27" s="58"/>
      <c r="AE27" s="58"/>
      <c r="AF27" s="58"/>
      <c r="AG27" s="58"/>
      <c r="AH27" s="58"/>
      <c r="AI27" s="58"/>
      <c r="AJ27" s="59"/>
      <c r="AK27" s="60" t="str">
        <f>IF(ISBLANK($L$27)=TRUE,"","円")</f>
        <v/>
      </c>
      <c r="AL27" s="61"/>
    </row>
    <row r="28" spans="1:38" s="12" customFormat="1" ht="15" customHeight="1" x14ac:dyDescent="0.15">
      <c r="A28" s="77" t="s">
        <v>30</v>
      </c>
      <c r="B28" s="143"/>
      <c r="C28" s="143"/>
      <c r="D28" s="143"/>
      <c r="E28" s="143"/>
      <c r="F28" s="144"/>
      <c r="G28" s="30" t="s">
        <v>28</v>
      </c>
      <c r="H28" s="31"/>
      <c r="I28" s="31"/>
      <c r="J28" s="31"/>
      <c r="K28" s="32"/>
      <c r="L28" s="161"/>
      <c r="M28" s="161"/>
      <c r="N28" s="161"/>
      <c r="O28" s="161"/>
      <c r="P28" s="162"/>
      <c r="Q28" s="32" t="str">
        <f>IF(ISBLANK($L$28)=TRUE,"","人")</f>
        <v/>
      </c>
      <c r="R28" s="156"/>
      <c r="S28" s="163">
        <f>VLOOKUP($D$4,[1]委託料一覧!$A$6:$BI$33,29,FALSE)</f>
        <v>8756</v>
      </c>
      <c r="T28" s="164"/>
      <c r="U28" s="164"/>
      <c r="V28" s="164"/>
      <c r="W28" s="164"/>
      <c r="X28" s="164"/>
      <c r="Y28" s="164"/>
      <c r="Z28" s="164"/>
      <c r="AA28" s="32" t="str">
        <f>IF($S$28=0,"","円")</f>
        <v>円</v>
      </c>
      <c r="AB28" s="156"/>
      <c r="AC28" s="165">
        <f t="shared" si="0"/>
        <v>0</v>
      </c>
      <c r="AD28" s="165"/>
      <c r="AE28" s="165"/>
      <c r="AF28" s="165"/>
      <c r="AG28" s="165"/>
      <c r="AH28" s="165"/>
      <c r="AI28" s="165"/>
      <c r="AJ28" s="163"/>
      <c r="AK28" s="32" t="str">
        <f>IF(ISBLANK($L$28)=TRUE,"","円")</f>
        <v/>
      </c>
      <c r="AL28" s="156"/>
    </row>
    <row r="29" spans="1:38" s="12" customFormat="1" ht="15" customHeight="1" x14ac:dyDescent="0.15">
      <c r="A29" s="145"/>
      <c r="B29" s="146"/>
      <c r="C29" s="146"/>
      <c r="D29" s="146"/>
      <c r="E29" s="146"/>
      <c r="F29" s="147"/>
      <c r="G29" s="184" t="str">
        <f>IF(VLOOKUP($D$4,[1]委託料一覧!A6:BI33,30,FALSE)=0,"",VLOOKUP($D$4,[1]委託料一覧!A6:BI33,30,FALSE))</f>
        <v>第2期 5歳児</v>
      </c>
      <c r="H29" s="104"/>
      <c r="I29" s="104"/>
      <c r="J29" s="104"/>
      <c r="K29" s="105"/>
      <c r="L29" s="181"/>
      <c r="M29" s="181"/>
      <c r="N29" s="181"/>
      <c r="O29" s="181"/>
      <c r="P29" s="128"/>
      <c r="Q29" s="105" t="str">
        <f>IF($G$29="","",IF(ISBLANK($L$29)=TRUE,"","人"))</f>
        <v/>
      </c>
      <c r="R29" s="182"/>
      <c r="S29" s="183">
        <f>VLOOKUP($D$4,[1]委託料一覧!$A$6:$BI$33,31,FALSE)</f>
        <v>7326</v>
      </c>
      <c r="T29" s="183"/>
      <c r="U29" s="183"/>
      <c r="V29" s="183"/>
      <c r="W29" s="183"/>
      <c r="X29" s="183"/>
      <c r="Y29" s="183"/>
      <c r="Z29" s="132"/>
      <c r="AA29" s="105" t="str">
        <f>IF($S$29=0,"","円")</f>
        <v>円</v>
      </c>
      <c r="AB29" s="182"/>
      <c r="AC29" s="183">
        <f t="shared" si="0"/>
        <v>0</v>
      </c>
      <c r="AD29" s="183"/>
      <c r="AE29" s="183"/>
      <c r="AF29" s="183"/>
      <c r="AG29" s="183"/>
      <c r="AH29" s="183"/>
      <c r="AI29" s="183"/>
      <c r="AJ29" s="132"/>
      <c r="AK29" s="105" t="str">
        <f>IF($G$29="","",IF(ISBLANK($L$29)=TRUE,"","円"))</f>
        <v/>
      </c>
      <c r="AL29" s="182"/>
    </row>
    <row r="30" spans="1:38" s="12" customFormat="1" ht="15" customHeight="1" x14ac:dyDescent="0.15">
      <c r="A30" s="148"/>
      <c r="B30" s="149"/>
      <c r="C30" s="149"/>
      <c r="D30" s="149"/>
      <c r="E30" s="149"/>
      <c r="F30" s="150"/>
      <c r="G30" s="159" t="str">
        <f>IF(VLOOKUP($D$4,[1]委託料一覧!A6:BI33,32,FALSE)=0,"",VLOOKUP($D$4,[1]委託料一覧!A6:BI33,32,FALSE))</f>
        <v>第2期 6歳児</v>
      </c>
      <c r="H30" s="160"/>
      <c r="I30" s="160"/>
      <c r="J30" s="160"/>
      <c r="K30" s="60"/>
      <c r="L30" s="153"/>
      <c r="M30" s="153"/>
      <c r="N30" s="153"/>
      <c r="O30" s="153"/>
      <c r="P30" s="154"/>
      <c r="Q30" s="60" t="str">
        <f>IF(ISBLANK($L$30)=TRUE,"","人")</f>
        <v/>
      </c>
      <c r="R30" s="61"/>
      <c r="S30" s="59">
        <f>VLOOKUP($D$4,[1]委託料一覧!$A$6:$BI$33,33,FALSE)</f>
        <v>6501</v>
      </c>
      <c r="T30" s="155"/>
      <c r="U30" s="155"/>
      <c r="V30" s="155"/>
      <c r="W30" s="155"/>
      <c r="X30" s="155"/>
      <c r="Y30" s="155"/>
      <c r="Z30" s="155"/>
      <c r="AA30" s="60" t="str">
        <f>IF($S$30=0,"","円")</f>
        <v>円</v>
      </c>
      <c r="AB30" s="61"/>
      <c r="AC30" s="58">
        <f t="shared" si="0"/>
        <v>0</v>
      </c>
      <c r="AD30" s="58"/>
      <c r="AE30" s="58"/>
      <c r="AF30" s="58"/>
      <c r="AG30" s="58"/>
      <c r="AH30" s="58"/>
      <c r="AI30" s="58"/>
      <c r="AJ30" s="59"/>
      <c r="AK30" s="60" t="str">
        <f>IF(ISBLANK($L$30)=TRUE,"","円")</f>
        <v/>
      </c>
      <c r="AL30" s="61"/>
    </row>
    <row r="31" spans="1:38" s="12" customFormat="1" ht="15" customHeight="1" x14ac:dyDescent="0.15">
      <c r="A31" s="77" t="s">
        <v>31</v>
      </c>
      <c r="B31" s="78"/>
      <c r="C31" s="78"/>
      <c r="D31" s="78"/>
      <c r="E31" s="78"/>
      <c r="F31" s="79"/>
      <c r="G31" s="125" t="str">
        <f>IF(VLOOKUP($D$4,[1]委託料一覧!A6:BI33,34,FALSE)=0,"",VLOOKUP($D$4,[1]委託料一覧!A6:BI33,34,FALSE))</f>
        <v/>
      </c>
      <c r="H31" s="126"/>
      <c r="I31" s="126"/>
      <c r="J31" s="126"/>
      <c r="K31" s="127"/>
      <c r="L31" s="181"/>
      <c r="M31" s="181"/>
      <c r="N31" s="181"/>
      <c r="O31" s="181"/>
      <c r="P31" s="128"/>
      <c r="Q31" s="105" t="str">
        <f>IF($G$31="","",IF(ISBLANK($L$31)=TRUE,"","人"))</f>
        <v/>
      </c>
      <c r="R31" s="182"/>
      <c r="S31" s="132">
        <f>VLOOKUP($D$4,[1]委託料一覧!$A$6:$BI$33,35,FALSE)</f>
        <v>0</v>
      </c>
      <c r="T31" s="133"/>
      <c r="U31" s="133"/>
      <c r="V31" s="133"/>
      <c r="W31" s="133"/>
      <c r="X31" s="133"/>
      <c r="Y31" s="133"/>
      <c r="Z31" s="133"/>
      <c r="AA31" s="105" t="str">
        <f>IF($S$31=0,"","円")</f>
        <v/>
      </c>
      <c r="AB31" s="182"/>
      <c r="AC31" s="183">
        <f t="shared" si="0"/>
        <v>0</v>
      </c>
      <c r="AD31" s="183"/>
      <c r="AE31" s="183"/>
      <c r="AF31" s="183"/>
      <c r="AG31" s="183"/>
      <c r="AH31" s="183"/>
      <c r="AI31" s="183"/>
      <c r="AJ31" s="132"/>
      <c r="AK31" s="105" t="str">
        <f>IF($G$31="","",IF(ISBLANK($L$31)=TRUE,"","円"))</f>
        <v/>
      </c>
      <c r="AL31" s="182"/>
    </row>
    <row r="32" spans="1:38" s="12" customFormat="1" ht="15" customHeight="1" x14ac:dyDescent="0.15">
      <c r="A32" s="80"/>
      <c r="B32" s="81"/>
      <c r="C32" s="81"/>
      <c r="D32" s="81"/>
      <c r="E32" s="81"/>
      <c r="F32" s="82"/>
      <c r="G32" s="96" t="str">
        <f>IF(VLOOKUP($D$4,[1]委託料一覧!A6:BI33,36,FALSE)=0,"",VLOOKUP($D$4,[1]委託料一覧!A6:BI33,36,FALSE))</f>
        <v>***</v>
      </c>
      <c r="H32" s="151"/>
      <c r="I32" s="151"/>
      <c r="J32" s="151"/>
      <c r="K32" s="152"/>
      <c r="L32" s="153"/>
      <c r="M32" s="153"/>
      <c r="N32" s="153"/>
      <c r="O32" s="153"/>
      <c r="P32" s="154"/>
      <c r="Q32" s="60" t="str">
        <f>IF(ISBLANK($L$32)=TRUE,"","人")</f>
        <v/>
      </c>
      <c r="R32" s="61"/>
      <c r="S32" s="59">
        <f>VLOOKUP($D$4,[1]委託料一覧!$A$6:$BI$33,37,FALSE)</f>
        <v>6933</v>
      </c>
      <c r="T32" s="155"/>
      <c r="U32" s="155"/>
      <c r="V32" s="155"/>
      <c r="W32" s="155"/>
      <c r="X32" s="155"/>
      <c r="Y32" s="155"/>
      <c r="Z32" s="155"/>
      <c r="AA32" s="60" t="str">
        <f>IF($S$32=0,"","円")</f>
        <v>円</v>
      </c>
      <c r="AB32" s="61"/>
      <c r="AC32" s="58">
        <f t="shared" si="0"/>
        <v>0</v>
      </c>
      <c r="AD32" s="58"/>
      <c r="AE32" s="58"/>
      <c r="AF32" s="58"/>
      <c r="AG32" s="58"/>
      <c r="AH32" s="58"/>
      <c r="AI32" s="58"/>
      <c r="AJ32" s="59"/>
      <c r="AK32" s="60" t="str">
        <f>IF(ISBLANK($L$32)=TRUE,"","円")</f>
        <v/>
      </c>
      <c r="AL32" s="61"/>
    </row>
    <row r="33" spans="1:44" s="12" customFormat="1" ht="15" customHeight="1" x14ac:dyDescent="0.15">
      <c r="A33" s="166" t="s">
        <v>32</v>
      </c>
      <c r="B33" s="167"/>
      <c r="C33" s="167"/>
      <c r="D33" s="167"/>
      <c r="E33" s="167"/>
      <c r="F33" s="167"/>
      <c r="G33" s="167"/>
      <c r="H33" s="167"/>
      <c r="I33" s="167"/>
      <c r="J33" s="167"/>
      <c r="K33" s="168"/>
      <c r="L33" s="161"/>
      <c r="M33" s="161"/>
      <c r="N33" s="161"/>
      <c r="O33" s="161"/>
      <c r="P33" s="162"/>
      <c r="Q33" s="32" t="str">
        <f>IF(ISBLANK($L$33)=TRUE,"","人")</f>
        <v/>
      </c>
      <c r="R33" s="156"/>
      <c r="S33" s="163">
        <f>VLOOKUP($D$4,[1]委託料一覧!$A$6:$BI$33,38,FALSE)</f>
        <v>11110</v>
      </c>
      <c r="T33" s="164"/>
      <c r="U33" s="164"/>
      <c r="V33" s="164"/>
      <c r="W33" s="164"/>
      <c r="X33" s="164"/>
      <c r="Y33" s="164"/>
      <c r="Z33" s="164"/>
      <c r="AA33" s="32" t="str">
        <f>IF($S$33=0,"","円")</f>
        <v>円</v>
      </c>
      <c r="AB33" s="156"/>
      <c r="AC33" s="165">
        <f t="shared" si="0"/>
        <v>0</v>
      </c>
      <c r="AD33" s="165"/>
      <c r="AE33" s="165"/>
      <c r="AF33" s="165"/>
      <c r="AG33" s="165"/>
      <c r="AH33" s="165"/>
      <c r="AI33" s="165"/>
      <c r="AJ33" s="163"/>
      <c r="AK33" s="32" t="str">
        <f>IF(ISBLANK($L$33)=TRUE,"","円")</f>
        <v/>
      </c>
      <c r="AL33" s="156"/>
    </row>
    <row r="34" spans="1:44" s="12" customFormat="1" ht="15" customHeight="1" x14ac:dyDescent="0.15">
      <c r="A34" s="166" t="s">
        <v>33</v>
      </c>
      <c r="B34" s="167"/>
      <c r="C34" s="167"/>
      <c r="D34" s="167"/>
      <c r="E34" s="167"/>
      <c r="F34" s="167"/>
      <c r="G34" s="167"/>
      <c r="H34" s="167"/>
      <c r="I34" s="167"/>
      <c r="J34" s="167"/>
      <c r="K34" s="168"/>
      <c r="L34" s="161"/>
      <c r="M34" s="161"/>
      <c r="N34" s="161"/>
      <c r="O34" s="161"/>
      <c r="P34" s="162"/>
      <c r="Q34" s="32" t="str">
        <f>IF(ISBLANK($L$34)=TRUE,"","人")</f>
        <v/>
      </c>
      <c r="R34" s="156"/>
      <c r="S34" s="163">
        <f>VLOOKUP($D$4,[1]委託料一覧!$A$6:$BI$33,39,FALSE)</f>
        <v>8319</v>
      </c>
      <c r="T34" s="164"/>
      <c r="U34" s="164"/>
      <c r="V34" s="164"/>
      <c r="W34" s="164"/>
      <c r="X34" s="164"/>
      <c r="Y34" s="164"/>
      <c r="Z34" s="164"/>
      <c r="AA34" s="32" t="str">
        <f>IF($S$34=0,"","円")</f>
        <v>円</v>
      </c>
      <c r="AB34" s="156"/>
      <c r="AC34" s="165">
        <f t="shared" si="0"/>
        <v>0</v>
      </c>
      <c r="AD34" s="165"/>
      <c r="AE34" s="165"/>
      <c r="AF34" s="165"/>
      <c r="AG34" s="165"/>
      <c r="AH34" s="165"/>
      <c r="AI34" s="165"/>
      <c r="AJ34" s="163"/>
      <c r="AK34" s="32" t="str">
        <f>IF(ISBLANK($L$34)=TRUE,"","円")</f>
        <v/>
      </c>
      <c r="AL34" s="156"/>
    </row>
    <row r="35" spans="1:44" s="12" customFormat="1" ht="15" customHeight="1" x14ac:dyDescent="0.15">
      <c r="A35" s="166" t="s">
        <v>34</v>
      </c>
      <c r="B35" s="167"/>
      <c r="C35" s="167"/>
      <c r="D35" s="167"/>
      <c r="E35" s="167"/>
      <c r="F35" s="167"/>
      <c r="G35" s="167"/>
      <c r="H35" s="167"/>
      <c r="I35" s="167"/>
      <c r="J35" s="167"/>
      <c r="K35" s="168"/>
      <c r="L35" s="161"/>
      <c r="M35" s="161"/>
      <c r="N35" s="161"/>
      <c r="O35" s="161"/>
      <c r="P35" s="162"/>
      <c r="Q35" s="32" t="str">
        <f>IF(ISBLANK($L$35)=TRUE,"","人")</f>
        <v/>
      </c>
      <c r="R35" s="156"/>
      <c r="S35" s="163">
        <f>VLOOKUP($D$4,[1]委託料一覧!$A$6:$BI$33,40,FALSE)</f>
        <v>11288</v>
      </c>
      <c r="T35" s="164"/>
      <c r="U35" s="164"/>
      <c r="V35" s="164"/>
      <c r="W35" s="164"/>
      <c r="X35" s="164"/>
      <c r="Y35" s="164"/>
      <c r="Z35" s="164"/>
      <c r="AA35" s="32" t="str">
        <f>IF($S$35=0,"","円")</f>
        <v>円</v>
      </c>
      <c r="AB35" s="156"/>
      <c r="AC35" s="165">
        <f t="shared" si="0"/>
        <v>0</v>
      </c>
      <c r="AD35" s="165"/>
      <c r="AE35" s="165"/>
      <c r="AF35" s="165"/>
      <c r="AG35" s="165"/>
      <c r="AH35" s="165"/>
      <c r="AI35" s="165"/>
      <c r="AJ35" s="163"/>
      <c r="AK35" s="32" t="str">
        <f>IF(ISBLANK($L$35)=TRUE,"","円")</f>
        <v/>
      </c>
      <c r="AL35" s="156"/>
    </row>
    <row r="36" spans="1:44" s="12" customFormat="1" ht="15" customHeight="1" x14ac:dyDescent="0.15">
      <c r="A36" s="174" t="s">
        <v>35</v>
      </c>
      <c r="B36" s="174"/>
      <c r="C36" s="174"/>
      <c r="D36" s="174"/>
      <c r="E36" s="174"/>
      <c r="F36" s="174"/>
      <c r="G36" s="175" t="str">
        <f>[1]委託料一覧!AO5</f>
        <v>２価</v>
      </c>
      <c r="H36" s="176"/>
      <c r="I36" s="176"/>
      <c r="J36" s="176"/>
      <c r="K36" s="177"/>
      <c r="L36" s="86"/>
      <c r="M36" s="86"/>
      <c r="N36" s="86"/>
      <c r="O36" s="86"/>
      <c r="P36" s="87"/>
      <c r="Q36" s="88" t="str">
        <f>IF(ISBLANK($L$36)=TRUE,"","人")</f>
        <v/>
      </c>
      <c r="R36" s="89"/>
      <c r="S36" s="90">
        <f>VLOOKUP($D$4,[1]委託料一覧!$A$6:$BI$33,41,FALSE)</f>
        <v>16764</v>
      </c>
      <c r="T36" s="91"/>
      <c r="U36" s="91"/>
      <c r="V36" s="91"/>
      <c r="W36" s="91"/>
      <c r="X36" s="91"/>
      <c r="Y36" s="91"/>
      <c r="Z36" s="91"/>
      <c r="AA36" s="88" t="str">
        <f>IF($S$36=0,"","円")</f>
        <v>円</v>
      </c>
      <c r="AB36" s="89"/>
      <c r="AC36" s="92">
        <f t="shared" si="0"/>
        <v>0</v>
      </c>
      <c r="AD36" s="92"/>
      <c r="AE36" s="92"/>
      <c r="AF36" s="92"/>
      <c r="AG36" s="92"/>
      <c r="AH36" s="92"/>
      <c r="AI36" s="92"/>
      <c r="AJ36" s="90"/>
      <c r="AK36" s="88" t="str">
        <f>IF(ISBLANK($L$36)=TRUE,"","円")</f>
        <v/>
      </c>
      <c r="AL36" s="89"/>
    </row>
    <row r="37" spans="1:44" s="12" customFormat="1" ht="15" customHeight="1" x14ac:dyDescent="0.15">
      <c r="A37" s="174"/>
      <c r="B37" s="174"/>
      <c r="C37" s="174"/>
      <c r="D37" s="174"/>
      <c r="E37" s="174"/>
      <c r="F37" s="174"/>
      <c r="G37" s="178" t="str">
        <f>[1]委託料一覧!AP5</f>
        <v>４価</v>
      </c>
      <c r="H37" s="179"/>
      <c r="I37" s="179"/>
      <c r="J37" s="179"/>
      <c r="K37" s="180"/>
      <c r="L37" s="137"/>
      <c r="M37" s="173"/>
      <c r="N37" s="173"/>
      <c r="O37" s="173"/>
      <c r="P37" s="173"/>
      <c r="Q37" s="138" t="str">
        <f>IF(ISBLANK($L$37)=TRUE,"","人")</f>
        <v/>
      </c>
      <c r="R37" s="139"/>
      <c r="S37" s="140">
        <f>VLOOKUP($D$4,[1]委託料一覧!$A$6:$BI$33,42,FALSE)</f>
        <v>15950</v>
      </c>
      <c r="T37" s="141"/>
      <c r="U37" s="141"/>
      <c r="V37" s="141"/>
      <c r="W37" s="141"/>
      <c r="X37" s="141"/>
      <c r="Y37" s="141"/>
      <c r="Z37" s="141"/>
      <c r="AA37" s="138" t="str">
        <f>IF($S$36=0,"","円")</f>
        <v>円</v>
      </c>
      <c r="AB37" s="139"/>
      <c r="AC37" s="142">
        <f t="shared" si="0"/>
        <v>0</v>
      </c>
      <c r="AD37" s="142"/>
      <c r="AE37" s="142"/>
      <c r="AF37" s="142"/>
      <c r="AG37" s="142"/>
      <c r="AH37" s="142"/>
      <c r="AI37" s="142"/>
      <c r="AJ37" s="140"/>
      <c r="AK37" s="138" t="str">
        <f>IF(ISBLANK($L$37)=TRUE,"","円")</f>
        <v/>
      </c>
      <c r="AL37" s="139"/>
    </row>
    <row r="38" spans="1:44" s="12" customFormat="1" ht="15" customHeight="1" x14ac:dyDescent="0.15">
      <c r="A38" s="174"/>
      <c r="B38" s="174"/>
      <c r="C38" s="174"/>
      <c r="D38" s="174"/>
      <c r="E38" s="174"/>
      <c r="F38" s="174"/>
      <c r="G38" s="169" t="str">
        <f>[1]委託料一覧!AQ5</f>
        <v>９価</v>
      </c>
      <c r="H38" s="170"/>
      <c r="I38" s="170"/>
      <c r="J38" s="170"/>
      <c r="K38" s="171"/>
      <c r="L38" s="154"/>
      <c r="M38" s="172"/>
      <c r="N38" s="172"/>
      <c r="O38" s="172"/>
      <c r="P38" s="172"/>
      <c r="Q38" s="60" t="str">
        <f>IF(ISBLANK($L$38)=TRUE,"","人")</f>
        <v/>
      </c>
      <c r="R38" s="61"/>
      <c r="S38" s="59">
        <f>VLOOKUP($D$4,[1]委託料一覧!$A$6:$BI$33,43,FALSE)</f>
        <v>25012</v>
      </c>
      <c r="T38" s="155"/>
      <c r="U38" s="155"/>
      <c r="V38" s="155"/>
      <c r="W38" s="155"/>
      <c r="X38" s="155"/>
      <c r="Y38" s="155"/>
      <c r="Z38" s="155"/>
      <c r="AA38" s="60" t="str">
        <f>IF($S$36=0,"","円")</f>
        <v>円</v>
      </c>
      <c r="AB38" s="61"/>
      <c r="AC38" s="58">
        <f t="shared" si="0"/>
        <v>0</v>
      </c>
      <c r="AD38" s="58"/>
      <c r="AE38" s="58"/>
      <c r="AF38" s="58"/>
      <c r="AG38" s="58"/>
      <c r="AH38" s="58"/>
      <c r="AI38" s="58"/>
      <c r="AJ38" s="59"/>
      <c r="AK38" s="60" t="str">
        <f>IF(ISBLANK($L$38)=TRUE,"","円")</f>
        <v/>
      </c>
      <c r="AL38" s="61"/>
    </row>
    <row r="39" spans="1:44" s="12" customFormat="1" ht="15" customHeight="1" x14ac:dyDescent="0.15">
      <c r="A39" s="166" t="s">
        <v>36</v>
      </c>
      <c r="B39" s="167"/>
      <c r="C39" s="167"/>
      <c r="D39" s="167"/>
      <c r="E39" s="167"/>
      <c r="F39" s="167"/>
      <c r="G39" s="167"/>
      <c r="H39" s="167"/>
      <c r="I39" s="167"/>
      <c r="J39" s="167"/>
      <c r="K39" s="168"/>
      <c r="L39" s="161"/>
      <c r="M39" s="161"/>
      <c r="N39" s="161"/>
      <c r="O39" s="161"/>
      <c r="P39" s="162"/>
      <c r="Q39" s="32" t="str">
        <f>IF(ISBLANK($L$39)=TRUE,"","人")</f>
        <v/>
      </c>
      <c r="R39" s="156"/>
      <c r="S39" s="163">
        <f>VLOOKUP($D$4,[1]委託料一覧!$A$6:$BI$33,44,FALSE)</f>
        <v>10450</v>
      </c>
      <c r="T39" s="164"/>
      <c r="U39" s="164"/>
      <c r="V39" s="164"/>
      <c r="W39" s="164"/>
      <c r="X39" s="164"/>
      <c r="Y39" s="164"/>
      <c r="Z39" s="164"/>
      <c r="AA39" s="32" t="str">
        <f>IF($S$36=0,"","円")</f>
        <v>円</v>
      </c>
      <c r="AB39" s="156"/>
      <c r="AC39" s="165">
        <f t="shared" si="0"/>
        <v>0</v>
      </c>
      <c r="AD39" s="165"/>
      <c r="AE39" s="165"/>
      <c r="AF39" s="165"/>
      <c r="AG39" s="165"/>
      <c r="AH39" s="165"/>
      <c r="AI39" s="165"/>
      <c r="AJ39" s="163"/>
      <c r="AK39" s="32" t="str">
        <f>IF(ISBLANK($L$39)=TRUE,"","円")</f>
        <v/>
      </c>
      <c r="AL39" s="156"/>
    </row>
    <row r="40" spans="1:44" s="12" customFormat="1" ht="15" customHeight="1" x14ac:dyDescent="0.15">
      <c r="A40" s="77" t="s">
        <v>37</v>
      </c>
      <c r="B40" s="143"/>
      <c r="C40" s="143"/>
      <c r="D40" s="143"/>
      <c r="E40" s="143"/>
      <c r="F40" s="143"/>
      <c r="G40" s="143"/>
      <c r="H40" s="143"/>
      <c r="I40" s="143"/>
      <c r="J40" s="143"/>
      <c r="K40" s="144"/>
      <c r="L40" s="161"/>
      <c r="M40" s="161"/>
      <c r="N40" s="161"/>
      <c r="O40" s="161"/>
      <c r="P40" s="162"/>
      <c r="Q40" s="32" t="str">
        <f>IF(G40="","",IF(ISBLANK($L$40)=TRUE,"","人"))</f>
        <v/>
      </c>
      <c r="R40" s="156"/>
      <c r="S40" s="163">
        <f>VLOOKUP($D$4,[1]委託料一覧!$A$6:$BI$33,45,FALSE)</f>
        <v>7018</v>
      </c>
      <c r="T40" s="164"/>
      <c r="U40" s="164"/>
      <c r="V40" s="164"/>
      <c r="W40" s="164"/>
      <c r="X40" s="164"/>
      <c r="Y40" s="164"/>
      <c r="Z40" s="164"/>
      <c r="AA40" s="32" t="str">
        <f>IF($S$36=0,"","円")</f>
        <v>円</v>
      </c>
      <c r="AB40" s="156"/>
      <c r="AC40" s="165">
        <f t="shared" si="0"/>
        <v>0</v>
      </c>
      <c r="AD40" s="165"/>
      <c r="AE40" s="165"/>
      <c r="AF40" s="165"/>
      <c r="AG40" s="165"/>
      <c r="AH40" s="165"/>
      <c r="AI40" s="165"/>
      <c r="AJ40" s="163"/>
      <c r="AK40" s="32" t="str">
        <f>IF($G$40="","",IF(ISBLANK($L$40)=TRUE,"","円"))</f>
        <v/>
      </c>
      <c r="AL40" s="156"/>
      <c r="AP40" s="1"/>
      <c r="AQ40" s="1"/>
      <c r="AR40" s="1"/>
    </row>
    <row r="41" spans="1:44" s="12" customFormat="1" ht="15" customHeight="1" x14ac:dyDescent="0.15">
      <c r="A41" s="77" t="s">
        <v>38</v>
      </c>
      <c r="B41" s="78"/>
      <c r="C41" s="78"/>
      <c r="D41" s="78"/>
      <c r="E41" s="78"/>
      <c r="F41" s="79"/>
      <c r="G41" s="157" t="str">
        <f>[1]委託料一覧!AT5</f>
        <v>1価</v>
      </c>
      <c r="H41" s="158"/>
      <c r="I41" s="158"/>
      <c r="J41" s="158"/>
      <c r="K41" s="88"/>
      <c r="L41" s="86"/>
      <c r="M41" s="86"/>
      <c r="N41" s="86"/>
      <c r="O41" s="86"/>
      <c r="P41" s="87"/>
      <c r="Q41" s="88" t="str">
        <f>IF(ISBLANK($L$41)=TRUE,"","人")</f>
        <v/>
      </c>
      <c r="R41" s="89"/>
      <c r="S41" s="90">
        <f>VLOOKUP($D$4,[1]委託料一覧!$A$6:$BI$33,46,FALSE)</f>
        <v>16445</v>
      </c>
      <c r="T41" s="91"/>
      <c r="U41" s="91"/>
      <c r="V41" s="91"/>
      <c r="W41" s="91"/>
      <c r="X41" s="91"/>
      <c r="Y41" s="91"/>
      <c r="Z41" s="91"/>
      <c r="AA41" s="88" t="str">
        <f>IF($S$41=0,"","円")</f>
        <v>円</v>
      </c>
      <c r="AB41" s="89"/>
      <c r="AC41" s="92">
        <f t="shared" si="0"/>
        <v>0</v>
      </c>
      <c r="AD41" s="92"/>
      <c r="AE41" s="92"/>
      <c r="AF41" s="92"/>
      <c r="AG41" s="92"/>
      <c r="AH41" s="92"/>
      <c r="AI41" s="92"/>
      <c r="AJ41" s="90"/>
      <c r="AK41" s="88" t="str">
        <f>IF($G$20="","",IF(ISBLANK($L$20)=TRUE,"","円"))</f>
        <v/>
      </c>
      <c r="AL41" s="89"/>
      <c r="AO41" s="7"/>
    </row>
    <row r="42" spans="1:44" s="12" customFormat="1" ht="15" customHeight="1" x14ac:dyDescent="0.15">
      <c r="A42" s="80"/>
      <c r="B42" s="81"/>
      <c r="C42" s="81"/>
      <c r="D42" s="81"/>
      <c r="E42" s="81"/>
      <c r="F42" s="82"/>
      <c r="G42" s="159" t="str">
        <f>[1]委託料一覧!AU5</f>
        <v>5価</v>
      </c>
      <c r="H42" s="160"/>
      <c r="I42" s="160"/>
      <c r="J42" s="160"/>
      <c r="K42" s="60"/>
      <c r="L42" s="153"/>
      <c r="M42" s="153"/>
      <c r="N42" s="153"/>
      <c r="O42" s="153"/>
      <c r="P42" s="154"/>
      <c r="Q42" s="60" t="str">
        <f>IF(ISBLANK($L$42)=TRUE,"","人")</f>
        <v/>
      </c>
      <c r="R42" s="61"/>
      <c r="S42" s="59">
        <f>VLOOKUP($D$4,[1]委託料一覧!$A$6:$BI$33,47,FALSE)</f>
        <v>11036</v>
      </c>
      <c r="T42" s="155"/>
      <c r="U42" s="155"/>
      <c r="V42" s="155"/>
      <c r="W42" s="155"/>
      <c r="X42" s="155"/>
      <c r="Y42" s="155"/>
      <c r="Z42" s="155"/>
      <c r="AA42" s="60" t="str">
        <f>IF($S$42=0,"","円")</f>
        <v>円</v>
      </c>
      <c r="AB42" s="61"/>
      <c r="AC42" s="58">
        <f t="shared" si="0"/>
        <v>0</v>
      </c>
      <c r="AD42" s="58"/>
      <c r="AE42" s="58"/>
      <c r="AF42" s="58"/>
      <c r="AG42" s="58"/>
      <c r="AH42" s="58"/>
      <c r="AI42" s="58"/>
      <c r="AJ42" s="59"/>
      <c r="AK42" s="60" t="str">
        <f>IF(ISBLANK($L$21)=TRUE,"","円")</f>
        <v/>
      </c>
      <c r="AL42" s="61"/>
      <c r="AO42" s="7"/>
    </row>
    <row r="43" spans="1:44" s="12" customFormat="1" ht="15" customHeight="1" x14ac:dyDescent="0.15">
      <c r="A43" s="77" t="s">
        <v>39</v>
      </c>
      <c r="B43" s="143"/>
      <c r="C43" s="143"/>
      <c r="D43" s="143"/>
      <c r="E43" s="143"/>
      <c r="F43" s="144"/>
      <c r="G43" s="125" t="s">
        <v>40</v>
      </c>
      <c r="H43" s="126"/>
      <c r="I43" s="126"/>
      <c r="J43" s="126"/>
      <c r="K43" s="127"/>
      <c r="L43" s="128"/>
      <c r="M43" s="129"/>
      <c r="N43" s="129"/>
      <c r="O43" s="129"/>
      <c r="P43" s="129"/>
      <c r="Q43" s="104" t="str">
        <f>IF(G43="","",IF(ISBLANK(L43)=TRUE,"","人"))</f>
        <v/>
      </c>
      <c r="R43" s="105"/>
      <c r="S43" s="130"/>
      <c r="T43" s="131"/>
      <c r="U43" s="131"/>
      <c r="V43" s="131"/>
      <c r="W43" s="131"/>
      <c r="X43" s="131"/>
      <c r="Y43" s="131"/>
      <c r="Z43" s="131"/>
      <c r="AA43" s="104" t="str">
        <f>IF($S$43=0,"","円")</f>
        <v/>
      </c>
      <c r="AB43" s="105"/>
      <c r="AC43" s="132">
        <f t="shared" si="0"/>
        <v>0</v>
      </c>
      <c r="AD43" s="133"/>
      <c r="AE43" s="133"/>
      <c r="AF43" s="133"/>
      <c r="AG43" s="133"/>
      <c r="AH43" s="133"/>
      <c r="AI43" s="133"/>
      <c r="AJ43" s="133"/>
      <c r="AK43" s="104" t="str">
        <f>IF(G43="","",IF(ISBLANK(L43)=TRUE,"","円"))</f>
        <v/>
      </c>
      <c r="AL43" s="105"/>
    </row>
    <row r="44" spans="1:44" s="12" customFormat="1" ht="15" customHeight="1" x14ac:dyDescent="0.15">
      <c r="A44" s="145"/>
      <c r="B44" s="146"/>
      <c r="C44" s="146"/>
      <c r="D44" s="146"/>
      <c r="E44" s="146"/>
      <c r="F44" s="147"/>
      <c r="G44" s="106" t="str">
        <f>IF(VLOOKUP(D4,[1]委託料一覧!A6:BI33,48,FALSE)=0,"",VLOOKUP(D4,[1]委託料一覧!A6:BI33,48,FALSE))</f>
        <v/>
      </c>
      <c r="H44" s="134"/>
      <c r="I44" s="134"/>
      <c r="J44" s="134"/>
      <c r="K44" s="135"/>
      <c r="L44" s="136"/>
      <c r="M44" s="136"/>
      <c r="N44" s="136"/>
      <c r="O44" s="136"/>
      <c r="P44" s="137"/>
      <c r="Q44" s="138" t="str">
        <f>IF(G44="","",IF(ISBLANK(L44)=TRUE,"","人"))</f>
        <v/>
      </c>
      <c r="R44" s="139"/>
      <c r="S44" s="140">
        <f>VLOOKUP(D4,[1]委託料一覧!A6:BI33,49,FALSE)</f>
        <v>0</v>
      </c>
      <c r="T44" s="141"/>
      <c r="U44" s="141"/>
      <c r="V44" s="141"/>
      <c r="W44" s="141"/>
      <c r="X44" s="141"/>
      <c r="Y44" s="141"/>
      <c r="Z44" s="141"/>
      <c r="AA44" s="138" t="str">
        <f>IF(S44=0,"","円")</f>
        <v/>
      </c>
      <c r="AB44" s="139"/>
      <c r="AC44" s="142">
        <f t="shared" si="0"/>
        <v>0</v>
      </c>
      <c r="AD44" s="142"/>
      <c r="AE44" s="142"/>
      <c r="AF44" s="142"/>
      <c r="AG44" s="142"/>
      <c r="AH44" s="142"/>
      <c r="AI44" s="142"/>
      <c r="AJ44" s="140"/>
      <c r="AK44" s="138" t="str">
        <f>IF(G44="","",IF(ISBLANK(L44)=TRUE,"","円"))</f>
        <v/>
      </c>
      <c r="AL44" s="139"/>
    </row>
    <row r="45" spans="1:44" s="12" customFormat="1" ht="15" customHeight="1" x14ac:dyDescent="0.15">
      <c r="A45" s="148"/>
      <c r="B45" s="149"/>
      <c r="C45" s="149"/>
      <c r="D45" s="149"/>
      <c r="E45" s="149"/>
      <c r="F45" s="150"/>
      <c r="G45" s="96" t="str">
        <f>IF(VLOOKUP(D4,[1]委託料一覧!A6:BI33,50,FALSE)=0,"",VLOOKUP(D4,[1]委託料一覧!A6:BI33,50,FALSE))</f>
        <v>一般</v>
      </c>
      <c r="H45" s="151"/>
      <c r="I45" s="151"/>
      <c r="J45" s="151"/>
      <c r="K45" s="152"/>
      <c r="L45" s="153"/>
      <c r="M45" s="153"/>
      <c r="N45" s="153"/>
      <c r="O45" s="153"/>
      <c r="P45" s="154"/>
      <c r="Q45" s="60" t="str">
        <f>IF(ISBLANK(L45)=TRUE,"","人")</f>
        <v/>
      </c>
      <c r="R45" s="61"/>
      <c r="S45" s="59">
        <f>VLOOKUP(D4,[1]委託料一覧!A6:BI33,51,FALSE)</f>
        <v>1500</v>
      </c>
      <c r="T45" s="155"/>
      <c r="U45" s="155"/>
      <c r="V45" s="155"/>
      <c r="W45" s="155"/>
      <c r="X45" s="155"/>
      <c r="Y45" s="155"/>
      <c r="Z45" s="155"/>
      <c r="AA45" s="60" t="str">
        <f>IF($S$45=0,"","円")</f>
        <v>円</v>
      </c>
      <c r="AB45" s="61"/>
      <c r="AC45" s="58">
        <f t="shared" si="0"/>
        <v>0</v>
      </c>
      <c r="AD45" s="58"/>
      <c r="AE45" s="58"/>
      <c r="AF45" s="58"/>
      <c r="AG45" s="58"/>
      <c r="AH45" s="58"/>
      <c r="AI45" s="58"/>
      <c r="AJ45" s="59"/>
      <c r="AK45" s="60" t="str">
        <f>IF(ISBLANK(L45)=TRUE,"","円")</f>
        <v/>
      </c>
      <c r="AL45" s="61"/>
    </row>
    <row r="46" spans="1:44" s="12" customFormat="1" ht="15" customHeight="1" x14ac:dyDescent="0.15">
      <c r="A46" s="116" t="s">
        <v>41</v>
      </c>
      <c r="B46" s="117"/>
      <c r="C46" s="117"/>
      <c r="D46" s="117"/>
      <c r="E46" s="117"/>
      <c r="F46" s="118"/>
      <c r="G46" s="125" t="s">
        <v>40</v>
      </c>
      <c r="H46" s="126"/>
      <c r="I46" s="126"/>
      <c r="J46" s="126"/>
      <c r="K46" s="127"/>
      <c r="L46" s="128"/>
      <c r="M46" s="129"/>
      <c r="N46" s="129"/>
      <c r="O46" s="129"/>
      <c r="P46" s="129"/>
      <c r="Q46" s="104" t="str">
        <f>IF(G46="","",IF(ISBLANK(L46)=TRUE,"","人"))</f>
        <v/>
      </c>
      <c r="R46" s="105"/>
      <c r="S46" s="130"/>
      <c r="T46" s="131"/>
      <c r="U46" s="131"/>
      <c r="V46" s="131"/>
      <c r="W46" s="131"/>
      <c r="X46" s="131"/>
      <c r="Y46" s="131"/>
      <c r="Z46" s="131"/>
      <c r="AA46" s="104" t="str">
        <f>IF($S$46=0,"","円")</f>
        <v/>
      </c>
      <c r="AB46" s="105"/>
      <c r="AC46" s="132">
        <f t="shared" si="0"/>
        <v>0</v>
      </c>
      <c r="AD46" s="133"/>
      <c r="AE46" s="133"/>
      <c r="AF46" s="133"/>
      <c r="AG46" s="133"/>
      <c r="AH46" s="133"/>
      <c r="AI46" s="133"/>
      <c r="AJ46" s="133"/>
      <c r="AK46" s="104" t="str">
        <f>IF(G46="","",IF(ISBLANK(L46)=TRUE,"","円"))</f>
        <v/>
      </c>
      <c r="AL46" s="105"/>
    </row>
    <row r="47" spans="1:44" s="12" customFormat="1" ht="15" customHeight="1" x14ac:dyDescent="0.15">
      <c r="A47" s="119"/>
      <c r="B47" s="120"/>
      <c r="C47" s="120"/>
      <c r="D47" s="120"/>
      <c r="E47" s="120"/>
      <c r="F47" s="121"/>
      <c r="G47" s="106" t="str">
        <f>IF(VLOOKUP(D4,[1]委託料一覧!A6:BI33,52,FALSE)=0,"",VLOOKUP(D4,[1]委託料一覧!A6:BI33,52,FALSE))</f>
        <v/>
      </c>
      <c r="H47" s="107"/>
      <c r="I47" s="107"/>
      <c r="J47" s="107"/>
      <c r="K47" s="108"/>
      <c r="L47" s="109"/>
      <c r="M47" s="109"/>
      <c r="N47" s="109"/>
      <c r="O47" s="109"/>
      <c r="P47" s="110"/>
      <c r="Q47" s="111" t="str">
        <f>IF(G44="","",IF(ISBLANK(L44)=TRUE,"","人"))</f>
        <v/>
      </c>
      <c r="R47" s="112"/>
      <c r="S47" s="113">
        <f>VLOOKUP(D4,[1]委託料一覧!A6:BI33,53,FALSE)</f>
        <v>0</v>
      </c>
      <c r="T47" s="114"/>
      <c r="U47" s="114"/>
      <c r="V47" s="114"/>
      <c r="W47" s="114"/>
      <c r="X47" s="114"/>
      <c r="Y47" s="114"/>
      <c r="Z47" s="114"/>
      <c r="AA47" s="111" t="str">
        <f>IF(S47=0,"","円")</f>
        <v/>
      </c>
      <c r="AB47" s="112"/>
      <c r="AC47" s="115">
        <f t="shared" si="0"/>
        <v>0</v>
      </c>
      <c r="AD47" s="115"/>
      <c r="AE47" s="115"/>
      <c r="AF47" s="115"/>
      <c r="AG47" s="115"/>
      <c r="AH47" s="115"/>
      <c r="AI47" s="115"/>
      <c r="AJ47" s="113"/>
      <c r="AK47" s="111" t="str">
        <f>IF(G47="","",IF(ISBLANK(L47)=TRUE,"","円"))</f>
        <v/>
      </c>
      <c r="AL47" s="112"/>
    </row>
    <row r="48" spans="1:44" s="12" customFormat="1" ht="15" customHeight="1" x14ac:dyDescent="0.15">
      <c r="A48" s="122"/>
      <c r="B48" s="123"/>
      <c r="C48" s="123"/>
      <c r="D48" s="123"/>
      <c r="E48" s="123"/>
      <c r="F48" s="124"/>
      <c r="G48" s="96" t="str">
        <f>IF(VLOOKUP(D4,[1]委託料一覧!A6:BI33,54,FALSE)=0,"",VLOOKUP(D4,[1]委託料一覧!A6:BI33,54,FALSE))</f>
        <v>一般</v>
      </c>
      <c r="H48" s="97"/>
      <c r="I48" s="97"/>
      <c r="J48" s="97"/>
      <c r="K48" s="98"/>
      <c r="L48" s="99"/>
      <c r="M48" s="99"/>
      <c r="N48" s="99"/>
      <c r="O48" s="99"/>
      <c r="P48" s="100"/>
      <c r="Q48" s="75" t="str">
        <f>IF(ISBLANK(L48)=TRUE,"","人")</f>
        <v/>
      </c>
      <c r="R48" s="76"/>
      <c r="S48" s="101">
        <f>VLOOKUP(D4,[1]委託料一覧!A6:BI33,55,FALSE)</f>
        <v>3000</v>
      </c>
      <c r="T48" s="102"/>
      <c r="U48" s="102"/>
      <c r="V48" s="102"/>
      <c r="W48" s="102"/>
      <c r="X48" s="102"/>
      <c r="Y48" s="102"/>
      <c r="Z48" s="102"/>
      <c r="AA48" s="75" t="str">
        <f>IF($S$48=0,"","円")</f>
        <v>円</v>
      </c>
      <c r="AB48" s="76"/>
      <c r="AC48" s="103">
        <f t="shared" si="0"/>
        <v>0</v>
      </c>
      <c r="AD48" s="103"/>
      <c r="AE48" s="103"/>
      <c r="AF48" s="103"/>
      <c r="AG48" s="103"/>
      <c r="AH48" s="103"/>
      <c r="AI48" s="103"/>
      <c r="AJ48" s="101"/>
      <c r="AK48" s="75" t="str">
        <f>IF(ISBLANK(L48)=TRUE,"","円")</f>
        <v/>
      </c>
      <c r="AL48" s="76"/>
    </row>
    <row r="49" spans="1:256" s="12" customFormat="1" ht="15" customHeight="1" x14ac:dyDescent="0.15">
      <c r="A49" s="77" t="s">
        <v>42</v>
      </c>
      <c r="B49" s="78"/>
      <c r="C49" s="78"/>
      <c r="D49" s="78"/>
      <c r="E49" s="78"/>
      <c r="F49" s="79"/>
      <c r="G49" s="83" t="str">
        <f>IF(VLOOKUP(D4,[1]委託料一覧!A6:BI33,56,FALSE)=0,"",VLOOKUP(D4,[1]委託料一覧!A6:BI33,56,FALSE))</f>
        <v/>
      </c>
      <c r="H49" s="84"/>
      <c r="I49" s="84"/>
      <c r="J49" s="84"/>
      <c r="K49" s="85"/>
      <c r="L49" s="86"/>
      <c r="M49" s="86"/>
      <c r="N49" s="86"/>
      <c r="O49" s="86"/>
      <c r="P49" s="87"/>
      <c r="Q49" s="88" t="str">
        <f>IF(G49="","",IF(ISBLANK(L49)=TRUE,"","人"))</f>
        <v/>
      </c>
      <c r="R49" s="89"/>
      <c r="S49" s="90">
        <f>VLOOKUP(D4,[1]委託料一覧!A6:BI33,57,FALSE)</f>
        <v>0</v>
      </c>
      <c r="T49" s="91"/>
      <c r="U49" s="91"/>
      <c r="V49" s="91"/>
      <c r="W49" s="91"/>
      <c r="X49" s="91"/>
      <c r="Y49" s="91"/>
      <c r="Z49" s="91"/>
      <c r="AA49" s="88" t="str">
        <f>IF(S49=0,"","円")</f>
        <v/>
      </c>
      <c r="AB49" s="89"/>
      <c r="AC49" s="92">
        <f t="shared" si="0"/>
        <v>0</v>
      </c>
      <c r="AD49" s="92"/>
      <c r="AE49" s="92"/>
      <c r="AF49" s="92"/>
      <c r="AG49" s="92"/>
      <c r="AH49" s="92"/>
      <c r="AI49" s="92"/>
      <c r="AJ49" s="90"/>
      <c r="AK49" s="88" t="str">
        <f>IF(G49="","",IF(ISBLANK(L49)=TRUE,"","円"))</f>
        <v/>
      </c>
      <c r="AL49" s="89"/>
    </row>
    <row r="50" spans="1:256" s="12" customFormat="1" ht="15" customHeight="1" thickBot="1" x14ac:dyDescent="0.2">
      <c r="A50" s="80"/>
      <c r="B50" s="81"/>
      <c r="C50" s="81"/>
      <c r="D50" s="81"/>
      <c r="E50" s="81"/>
      <c r="F50" s="82"/>
      <c r="G50" s="93" t="str">
        <f>IF(VLOOKUP($D$4,[1]委託料一覧!A6:BI33,58,FALSE)=0,"",VLOOKUP($D$4,[1]委託料一覧!A6:BI33,58,FALSE))</f>
        <v>無し</v>
      </c>
      <c r="H50" s="94"/>
      <c r="I50" s="94"/>
      <c r="J50" s="94"/>
      <c r="K50" s="95"/>
      <c r="L50" s="67"/>
      <c r="M50" s="67"/>
      <c r="N50" s="67"/>
      <c r="O50" s="67"/>
      <c r="P50" s="68"/>
      <c r="Q50" s="69" t="str">
        <f>IF(G50="無し","",IF(ISBLANK(L50)=TRUE,"","人"))</f>
        <v/>
      </c>
      <c r="R50" s="70"/>
      <c r="S50" s="71">
        <f>VLOOKUP(D4,[1]委託料一覧!A6:BI33,59,FALSE)</f>
        <v>0</v>
      </c>
      <c r="T50" s="72"/>
      <c r="U50" s="72"/>
      <c r="V50" s="72"/>
      <c r="W50" s="72"/>
      <c r="X50" s="72"/>
      <c r="Y50" s="72"/>
      <c r="Z50" s="72"/>
      <c r="AA50" s="73" t="str">
        <f>IF(S50=0,"","円")</f>
        <v/>
      </c>
      <c r="AB50" s="69"/>
      <c r="AC50" s="74">
        <f t="shared" si="0"/>
        <v>0</v>
      </c>
      <c r="AD50" s="74"/>
      <c r="AE50" s="74"/>
      <c r="AF50" s="74"/>
      <c r="AG50" s="74"/>
      <c r="AH50" s="74"/>
      <c r="AI50" s="74"/>
      <c r="AJ50" s="71"/>
      <c r="AK50" s="69" t="str">
        <f>IF(G50="無し","",IF(ISBLANK(L50)=TRUE,"","円"))</f>
        <v/>
      </c>
      <c r="AL50" s="70"/>
    </row>
    <row r="51" spans="1:256" s="12" customFormat="1" ht="15" customHeight="1" thickTop="1" x14ac:dyDescent="0.15">
      <c r="A51" s="55" t="s">
        <v>43</v>
      </c>
      <c r="B51" s="56"/>
      <c r="C51" s="56"/>
      <c r="D51" s="56"/>
      <c r="E51" s="56"/>
      <c r="F51" s="56"/>
      <c r="G51" s="56"/>
      <c r="H51" s="56"/>
      <c r="I51" s="56"/>
      <c r="J51" s="56"/>
      <c r="K51" s="57"/>
      <c r="L51" s="58">
        <f>SUM(L15:P50)</f>
        <v>0</v>
      </c>
      <c r="M51" s="58"/>
      <c r="N51" s="58"/>
      <c r="O51" s="58"/>
      <c r="P51" s="59"/>
      <c r="Q51" s="60" t="str">
        <f>IF($L$51=0,"","人")</f>
        <v/>
      </c>
      <c r="R51" s="61"/>
      <c r="S51" s="62"/>
      <c r="T51" s="63"/>
      <c r="U51" s="63"/>
      <c r="V51" s="63"/>
      <c r="W51" s="63"/>
      <c r="X51" s="63"/>
      <c r="Y51" s="63"/>
      <c r="Z51" s="63"/>
      <c r="AA51" s="63"/>
      <c r="AB51" s="64"/>
      <c r="AC51" s="65">
        <f>SUM(AC15:AJ50)</f>
        <v>0</v>
      </c>
      <c r="AD51" s="65"/>
      <c r="AE51" s="65"/>
      <c r="AF51" s="65"/>
      <c r="AG51" s="65"/>
      <c r="AH51" s="65"/>
      <c r="AI51" s="65"/>
      <c r="AJ51" s="66"/>
      <c r="AK51" s="60" t="str">
        <f>IF(AC51=0,"","円")</f>
        <v/>
      </c>
      <c r="AL51" s="61"/>
    </row>
    <row r="52" spans="1:256" s="12" customFormat="1" ht="5.0999999999999996" customHeight="1" x14ac:dyDescent="0.15">
      <c r="A52" s="14"/>
      <c r="B52" s="14"/>
      <c r="C52" s="14"/>
      <c r="D52" s="14"/>
      <c r="E52" s="14"/>
      <c r="F52" s="14"/>
      <c r="G52" s="15"/>
      <c r="H52" s="14"/>
      <c r="I52" s="14"/>
      <c r="J52" s="14"/>
      <c r="K52" s="14"/>
      <c r="L52" s="16"/>
      <c r="M52" s="16"/>
      <c r="N52" s="16"/>
      <c r="O52" s="16"/>
      <c r="P52" s="16"/>
      <c r="Q52" s="17"/>
      <c r="R52" s="17"/>
      <c r="S52" s="17"/>
      <c r="T52" s="17"/>
      <c r="U52" s="17"/>
      <c r="V52" s="17"/>
      <c r="W52" s="17"/>
      <c r="X52" s="17"/>
      <c r="Y52" s="17"/>
      <c r="Z52" s="17"/>
      <c r="AA52" s="17"/>
      <c r="AB52" s="17"/>
      <c r="AC52" s="16"/>
      <c r="AD52" s="16"/>
      <c r="AE52" s="16"/>
      <c r="AF52" s="16"/>
      <c r="AG52" s="16"/>
      <c r="AH52" s="16"/>
      <c r="AI52" s="16"/>
      <c r="AJ52" s="16"/>
      <c r="AK52" s="14"/>
      <c r="AL52" s="14"/>
    </row>
    <row r="53" spans="1:256" s="18" customFormat="1" ht="15" customHeight="1" x14ac:dyDescent="0.15">
      <c r="A53" s="42" t="s">
        <v>44</v>
      </c>
      <c r="B53" s="43"/>
      <c r="C53" s="43"/>
      <c r="D53" s="43"/>
      <c r="E53" s="43"/>
      <c r="F53" s="44"/>
      <c r="G53" s="45" t="str">
        <f>IF(VLOOKUP($D$4,[1]委託料一覧!A6:BI33,60,FALSE)=0,"",VLOOKUP($D$4,[1]委託料一覧!A6:BI33,60,FALSE))</f>
        <v>インフルエンザの実施期間は10月～2月</v>
      </c>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6"/>
    </row>
    <row r="54" spans="1:256" s="18" customFormat="1" ht="71.25" customHeight="1" x14ac:dyDescent="0.15">
      <c r="A54" s="42" t="s">
        <v>45</v>
      </c>
      <c r="B54" s="43"/>
      <c r="C54" s="43"/>
      <c r="D54" s="43"/>
      <c r="E54" s="43"/>
      <c r="F54" s="44"/>
      <c r="G54" s="47" t="str">
        <f>IF(VLOOKUP($D$4,[1]委託料一覧!A6:BI33,61,FALSE)=0,"",VLOOKUP($D$4,[1]委託料一覧!A6:BI33,61,FALSE))</f>
        <v>【インフルエンザ（高齢者）・高齢者用肺炎球菌】 他のワクチンと請求書を分ける。生保は全額負担。</v>
      </c>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9"/>
    </row>
    <row r="55" spans="1:256" s="12" customFormat="1" ht="5.0999999999999996" customHeight="1" x14ac:dyDescent="0.15"/>
    <row r="56" spans="1:256" s="12" customFormat="1" ht="15" customHeight="1" x14ac:dyDescent="0.15">
      <c r="A56" s="1" t="s">
        <v>46</v>
      </c>
    </row>
    <row r="57" spans="1:256" s="12" customFormat="1" ht="15" customHeight="1" x14ac:dyDescent="0.15">
      <c r="A57" s="30" t="s">
        <v>47</v>
      </c>
      <c r="B57" s="31"/>
      <c r="C57" s="31"/>
      <c r="D57" s="31"/>
      <c r="E57" s="31"/>
      <c r="F57" s="32"/>
      <c r="G57" s="50" t="s">
        <v>48</v>
      </c>
      <c r="H57" s="51"/>
      <c r="I57" s="51"/>
      <c r="J57" s="51"/>
      <c r="K57" s="51"/>
      <c r="L57" s="51"/>
      <c r="M57" s="51"/>
      <c r="N57" s="51"/>
      <c r="O57" s="51"/>
      <c r="P57" s="51"/>
      <c r="Q57" s="51"/>
      <c r="R57" s="52"/>
      <c r="S57" s="30" t="s">
        <v>49</v>
      </c>
      <c r="T57" s="31"/>
      <c r="U57" s="31"/>
      <c r="V57" s="31"/>
      <c r="W57" s="31"/>
      <c r="X57" s="32"/>
      <c r="Y57" s="50"/>
      <c r="Z57" s="53"/>
      <c r="AA57" s="53"/>
      <c r="AB57" s="53"/>
      <c r="AC57" s="53"/>
      <c r="AD57" s="53"/>
      <c r="AE57" s="53"/>
      <c r="AF57" s="53"/>
      <c r="AG57" s="53"/>
      <c r="AH57" s="53"/>
      <c r="AI57" s="53"/>
      <c r="AJ57" s="53"/>
      <c r="AK57" s="53"/>
      <c r="AL57" s="54"/>
    </row>
    <row r="58" spans="1:256" s="12" customFormat="1" ht="15" customHeight="1" x14ac:dyDescent="0.15">
      <c r="A58" s="30" t="s">
        <v>50</v>
      </c>
      <c r="B58" s="31"/>
      <c r="C58" s="31"/>
      <c r="D58" s="31"/>
      <c r="E58" s="31"/>
      <c r="F58" s="32"/>
      <c r="G58" s="33"/>
      <c r="H58" s="33"/>
      <c r="I58" s="33"/>
      <c r="J58" s="33"/>
      <c r="K58" s="33"/>
      <c r="L58" s="33"/>
      <c r="M58" s="33"/>
      <c r="N58" s="33"/>
      <c r="O58" s="33"/>
      <c r="P58" s="33"/>
      <c r="Q58" s="33"/>
      <c r="R58" s="34"/>
      <c r="S58" s="30" t="s">
        <v>51</v>
      </c>
      <c r="T58" s="31"/>
      <c r="U58" s="31"/>
      <c r="V58" s="31"/>
      <c r="W58" s="31"/>
      <c r="X58" s="32"/>
      <c r="Y58" s="35"/>
      <c r="Z58" s="35"/>
      <c r="AA58" s="35"/>
      <c r="AB58" s="35"/>
      <c r="AC58" s="35"/>
      <c r="AD58" s="35"/>
      <c r="AE58" s="35"/>
      <c r="AF58" s="35"/>
      <c r="AG58" s="35"/>
      <c r="AH58" s="35"/>
      <c r="AI58" s="35"/>
      <c r="AJ58" s="35"/>
      <c r="AK58" s="35"/>
      <c r="AL58" s="36"/>
    </row>
    <row r="59" spans="1:256" s="12" customFormat="1" ht="15" customHeight="1" x14ac:dyDescent="0.15">
      <c r="A59" s="37" t="s">
        <v>52</v>
      </c>
      <c r="B59" s="38"/>
      <c r="C59" s="38"/>
      <c r="D59" s="38"/>
      <c r="E59" s="38"/>
      <c r="F59" s="39"/>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1"/>
    </row>
    <row r="60" spans="1:256" s="12" customFormat="1" ht="15" customHeight="1" x14ac:dyDescent="0.15">
      <c r="A60" s="22" t="s">
        <v>53</v>
      </c>
      <c r="B60" s="23"/>
      <c r="C60" s="23"/>
      <c r="D60" s="23"/>
      <c r="E60" s="23"/>
      <c r="F60" s="24"/>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6"/>
    </row>
    <row r="61" spans="1:256" s="12" customFormat="1" ht="5.0999999999999996" customHeight="1" x14ac:dyDescent="0.15"/>
    <row r="62" spans="1:256" s="20" customFormat="1" ht="15" customHeight="1" x14ac:dyDescent="0.15">
      <c r="A62" s="19" t="s">
        <v>54</v>
      </c>
      <c r="B62" s="27" t="s">
        <v>55</v>
      </c>
      <c r="C62" s="27"/>
      <c r="D62" s="27"/>
      <c r="E62" s="27"/>
      <c r="F62" s="27"/>
      <c r="G62" s="19" t="s">
        <v>9</v>
      </c>
      <c r="H62" s="20" t="s">
        <v>56</v>
      </c>
    </row>
    <row r="63" spans="1:256" s="20" customFormat="1" ht="15" customHeight="1" x14ac:dyDescent="0.15">
      <c r="A63" s="19" t="s">
        <v>54</v>
      </c>
      <c r="B63" s="27" t="s">
        <v>57</v>
      </c>
      <c r="C63" s="27"/>
      <c r="D63" s="27"/>
      <c r="E63" s="27"/>
      <c r="F63" s="27"/>
      <c r="G63" s="19" t="s">
        <v>9</v>
      </c>
      <c r="H63" s="20" t="s">
        <v>58</v>
      </c>
    </row>
    <row r="64" spans="1:256" s="20" customFormat="1" ht="15" customHeight="1" x14ac:dyDescent="0.15">
      <c r="A64" s="19"/>
      <c r="B64" s="27"/>
      <c r="C64" s="27"/>
      <c r="D64" s="27"/>
      <c r="E64" s="27"/>
      <c r="F64" s="27"/>
      <c r="G64" s="19"/>
      <c r="H64" s="20" t="s">
        <v>59</v>
      </c>
      <c r="IV64" s="21"/>
    </row>
    <row r="65" spans="1:254" s="20" customFormat="1" ht="15" customHeight="1" x14ac:dyDescent="0.15">
      <c r="A65" s="19"/>
      <c r="B65" s="27"/>
      <c r="C65" s="27"/>
      <c r="D65" s="27"/>
      <c r="E65" s="27"/>
      <c r="F65" s="27"/>
      <c r="H65" s="28" t="s">
        <v>60</v>
      </c>
      <c r="I65" s="28"/>
      <c r="J65" s="28"/>
      <c r="K65" s="28"/>
      <c r="L65" s="28"/>
      <c r="M65" s="28"/>
      <c r="N65" s="28"/>
      <c r="O65" s="29" t="str">
        <f>IF(VLOOKUP($D$4,[1]委託料一覧!A6:BI33,2,FALSE)=0,"",VLOOKUP($D$4,[1]委託料一覧!A6:BI33,2,FALSE))</f>
        <v>保健センター</v>
      </c>
      <c r="P65" s="29"/>
      <c r="Q65" s="29"/>
      <c r="R65" s="29"/>
      <c r="S65" s="29"/>
      <c r="T65" s="29"/>
      <c r="U65" s="29"/>
      <c r="V65" s="29"/>
      <c r="W65" s="29"/>
      <c r="X65" s="29"/>
      <c r="Y65" s="29"/>
      <c r="Z65" s="28" t="s">
        <v>61</v>
      </c>
      <c r="AA65" s="28"/>
      <c r="AB65" s="28"/>
      <c r="AC65" s="29" t="str">
        <f>IF(VLOOKUP($D$4,[1]委託料一覧!A6:BI33,5,FALSE)=0,"",VLOOKUP($D$4,[1]委託料一覧!A6:BI33,5,FALSE))</f>
        <v>0185-45-2613</v>
      </c>
      <c r="AD65" s="29"/>
      <c r="AE65" s="29"/>
      <c r="AF65" s="29"/>
      <c r="AG65" s="29"/>
      <c r="AH65" s="29"/>
      <c r="AI65" s="29"/>
      <c r="AJ65" s="29"/>
      <c r="AK65" s="29"/>
      <c r="AL65" s="29"/>
      <c r="IT65" s="21"/>
    </row>
    <row r="66" spans="1:254" ht="18.75" customHeight="1" x14ac:dyDescent="0.15">
      <c r="H66" s="14"/>
    </row>
  </sheetData>
  <protectedRanges>
    <protectedRange sqref="D4" name="宛先"/>
    <protectedRange sqref="AD3" name="年"/>
    <protectedRange sqref="AG3" name="月"/>
    <protectedRange sqref="AJ3" name="日"/>
    <protectedRange sqref="X5:AK8" name="医療機関名"/>
    <protectedRange sqref="L9" name="実績年"/>
    <protectedRange sqref="O9" name="実績月"/>
    <protectedRange sqref="L15:P50" name="実績人数"/>
    <protectedRange sqref="S43" name="単価_インフル"/>
    <protectedRange sqref="S46" name="単価_肺炎"/>
    <protectedRange sqref="G57" name="金融機関名"/>
    <protectedRange sqref="Y57" name="本支店名"/>
    <protectedRange sqref="G58" name="預金種別"/>
    <protectedRange sqref="Y58" name="口座番号"/>
    <protectedRange sqref="G59:AL60" name="口座名義"/>
  </protectedRanges>
  <mergeCells count="319">
    <mergeCell ref="R5:V5"/>
    <mergeCell ref="X5:AK5"/>
    <mergeCell ref="R6:V6"/>
    <mergeCell ref="X6:AK6"/>
    <mergeCell ref="R7:V7"/>
    <mergeCell ref="X7:AK7"/>
    <mergeCell ref="A1:AL1"/>
    <mergeCell ref="A2:AL2"/>
    <mergeCell ref="AD3:AE3"/>
    <mergeCell ref="AG3:AH3"/>
    <mergeCell ref="AJ3:AK3"/>
    <mergeCell ref="D4:P4"/>
    <mergeCell ref="T13:AA13"/>
    <mergeCell ref="A14:F14"/>
    <mergeCell ref="G14:K14"/>
    <mergeCell ref="L14:R14"/>
    <mergeCell ref="S14:AB14"/>
    <mergeCell ref="AC14:AL14"/>
    <mergeCell ref="X8:AJ8"/>
    <mergeCell ref="L9:M9"/>
    <mergeCell ref="O9:P9"/>
    <mergeCell ref="Q9:R9"/>
    <mergeCell ref="I11:N11"/>
    <mergeCell ref="P11:AA11"/>
    <mergeCell ref="AB11:AC11"/>
    <mergeCell ref="A17:F18"/>
    <mergeCell ref="G17:K17"/>
    <mergeCell ref="L17:P17"/>
    <mergeCell ref="Q17:R17"/>
    <mergeCell ref="S17:Z17"/>
    <mergeCell ref="AA17:AB17"/>
    <mergeCell ref="AC15:AJ15"/>
    <mergeCell ref="AK15:AL15"/>
    <mergeCell ref="G16:K16"/>
    <mergeCell ref="L16:P16"/>
    <mergeCell ref="Q16:R16"/>
    <mergeCell ref="S16:Z16"/>
    <mergeCell ref="AA16:AB16"/>
    <mergeCell ref="AC16:AJ16"/>
    <mergeCell ref="AK16:AL16"/>
    <mergeCell ref="A15:F16"/>
    <mergeCell ref="G15:K15"/>
    <mergeCell ref="L15:P15"/>
    <mergeCell ref="Q15:R15"/>
    <mergeCell ref="S15:Z15"/>
    <mergeCell ref="AA15:AB15"/>
    <mergeCell ref="AC17:AJ17"/>
    <mergeCell ref="AK17:AL17"/>
    <mergeCell ref="G18:K18"/>
    <mergeCell ref="L18:P18"/>
    <mergeCell ref="Q18:R18"/>
    <mergeCell ref="S18:Z18"/>
    <mergeCell ref="AA18:AB18"/>
    <mergeCell ref="AC18:AJ18"/>
    <mergeCell ref="AK18:AL18"/>
    <mergeCell ref="L21:P21"/>
    <mergeCell ref="Q21:R21"/>
    <mergeCell ref="S21:Z21"/>
    <mergeCell ref="AA21:AB21"/>
    <mergeCell ref="AC21:AJ21"/>
    <mergeCell ref="AK21:AL21"/>
    <mergeCell ref="AK19:AL19"/>
    <mergeCell ref="A20:F21"/>
    <mergeCell ref="G20:K20"/>
    <mergeCell ref="L20:P20"/>
    <mergeCell ref="Q20:R20"/>
    <mergeCell ref="S20:Z20"/>
    <mergeCell ref="AA20:AB20"/>
    <mergeCell ref="AC20:AJ20"/>
    <mergeCell ref="AK20:AL20"/>
    <mergeCell ref="G21:K21"/>
    <mergeCell ref="A19:K19"/>
    <mergeCell ref="L19:P19"/>
    <mergeCell ref="Q19:R19"/>
    <mergeCell ref="S19:Z19"/>
    <mergeCell ref="AA19:AB19"/>
    <mergeCell ref="AC19:AJ19"/>
    <mergeCell ref="A22:F24"/>
    <mergeCell ref="G22:K22"/>
    <mergeCell ref="L22:P22"/>
    <mergeCell ref="Q22:R22"/>
    <mergeCell ref="S22:Z22"/>
    <mergeCell ref="AA22:AB22"/>
    <mergeCell ref="G24:K24"/>
    <mergeCell ref="L24:P24"/>
    <mergeCell ref="Q24:R24"/>
    <mergeCell ref="S24:Z24"/>
    <mergeCell ref="AC22:AJ22"/>
    <mergeCell ref="AK22:AL22"/>
    <mergeCell ref="G23:K23"/>
    <mergeCell ref="L23:P23"/>
    <mergeCell ref="Q23:R23"/>
    <mergeCell ref="S23:Z23"/>
    <mergeCell ref="AA23:AB23"/>
    <mergeCell ref="AC23:AJ23"/>
    <mergeCell ref="AK23:AL23"/>
    <mergeCell ref="AK25:AL25"/>
    <mergeCell ref="G26:K26"/>
    <mergeCell ref="L26:P26"/>
    <mergeCell ref="Q26:R26"/>
    <mergeCell ref="S26:Z26"/>
    <mergeCell ref="AA26:AB26"/>
    <mergeCell ref="AC26:AJ26"/>
    <mergeCell ref="AK26:AL26"/>
    <mergeCell ref="AA24:AB24"/>
    <mergeCell ref="AC24:AJ24"/>
    <mergeCell ref="AK24:AL24"/>
    <mergeCell ref="G25:K25"/>
    <mergeCell ref="L25:P25"/>
    <mergeCell ref="Q25:R25"/>
    <mergeCell ref="S25:Z25"/>
    <mergeCell ref="AA25:AB25"/>
    <mergeCell ref="AC25:AJ25"/>
    <mergeCell ref="L29:P29"/>
    <mergeCell ref="Q29:R29"/>
    <mergeCell ref="S29:Z29"/>
    <mergeCell ref="AA29:AB29"/>
    <mergeCell ref="AC29:AJ29"/>
    <mergeCell ref="AK29:AL29"/>
    <mergeCell ref="AK27:AL27"/>
    <mergeCell ref="A28:F30"/>
    <mergeCell ref="G28:K28"/>
    <mergeCell ref="L28:P28"/>
    <mergeCell ref="Q28:R28"/>
    <mergeCell ref="S28:Z28"/>
    <mergeCell ref="AA28:AB28"/>
    <mergeCell ref="AC28:AJ28"/>
    <mergeCell ref="AK28:AL28"/>
    <mergeCell ref="G29:K29"/>
    <mergeCell ref="G27:K27"/>
    <mergeCell ref="L27:P27"/>
    <mergeCell ref="Q27:R27"/>
    <mergeCell ref="S27:Z27"/>
    <mergeCell ref="AA27:AB27"/>
    <mergeCell ref="AC27:AJ27"/>
    <mergeCell ref="A25:F27"/>
    <mergeCell ref="L32:P32"/>
    <mergeCell ref="Q32:R32"/>
    <mergeCell ref="S32:Z32"/>
    <mergeCell ref="AA32:AB32"/>
    <mergeCell ref="AC32:AJ32"/>
    <mergeCell ref="AK32:AL32"/>
    <mergeCell ref="AK30:AL30"/>
    <mergeCell ref="A31:F32"/>
    <mergeCell ref="G31:K31"/>
    <mergeCell ref="L31:P31"/>
    <mergeCell ref="Q31:R31"/>
    <mergeCell ref="S31:Z31"/>
    <mergeCell ref="AA31:AB31"/>
    <mergeCell ref="AC31:AJ31"/>
    <mergeCell ref="AK31:AL31"/>
    <mergeCell ref="G32:K32"/>
    <mergeCell ref="G30:K30"/>
    <mergeCell ref="L30:P30"/>
    <mergeCell ref="Q30:R30"/>
    <mergeCell ref="S30:Z30"/>
    <mergeCell ref="AA30:AB30"/>
    <mergeCell ref="AC30:AJ30"/>
    <mergeCell ref="AK33:AL33"/>
    <mergeCell ref="A34:K34"/>
    <mergeCell ref="L34:P34"/>
    <mergeCell ref="Q34:R34"/>
    <mergeCell ref="S34:Z34"/>
    <mergeCell ref="AA34:AB34"/>
    <mergeCell ref="AC34:AJ34"/>
    <mergeCell ref="AK34:AL34"/>
    <mergeCell ref="A33:K33"/>
    <mergeCell ref="L33:P33"/>
    <mergeCell ref="Q33:R33"/>
    <mergeCell ref="S33:Z33"/>
    <mergeCell ref="AA33:AB33"/>
    <mergeCell ref="AC33:AJ33"/>
    <mergeCell ref="L37:P37"/>
    <mergeCell ref="Q37:R37"/>
    <mergeCell ref="S37:Z37"/>
    <mergeCell ref="AA37:AB37"/>
    <mergeCell ref="AC37:AJ37"/>
    <mergeCell ref="AK37:AL37"/>
    <mergeCell ref="AK35:AL35"/>
    <mergeCell ref="A36:F38"/>
    <mergeCell ref="G36:K36"/>
    <mergeCell ref="L36:P36"/>
    <mergeCell ref="Q36:R36"/>
    <mergeCell ref="S36:Z36"/>
    <mergeCell ref="AA36:AB36"/>
    <mergeCell ref="AC36:AJ36"/>
    <mergeCell ref="AK36:AL36"/>
    <mergeCell ref="G37:K37"/>
    <mergeCell ref="A35:K35"/>
    <mergeCell ref="L35:P35"/>
    <mergeCell ref="Q35:R35"/>
    <mergeCell ref="S35:Z35"/>
    <mergeCell ref="AA35:AB35"/>
    <mergeCell ref="AC35:AJ35"/>
    <mergeCell ref="AK38:AL38"/>
    <mergeCell ref="A39:K39"/>
    <mergeCell ref="L39:P39"/>
    <mergeCell ref="Q39:R39"/>
    <mergeCell ref="S39:Z39"/>
    <mergeCell ref="AA39:AB39"/>
    <mergeCell ref="AC39:AJ39"/>
    <mergeCell ref="AK39:AL39"/>
    <mergeCell ref="G38:K38"/>
    <mergeCell ref="L38:P38"/>
    <mergeCell ref="Q38:R38"/>
    <mergeCell ref="S38:Z38"/>
    <mergeCell ref="AA38:AB38"/>
    <mergeCell ref="AC38:AJ38"/>
    <mergeCell ref="L42:P42"/>
    <mergeCell ref="Q42:R42"/>
    <mergeCell ref="S42:Z42"/>
    <mergeCell ref="AA42:AB42"/>
    <mergeCell ref="AC42:AJ42"/>
    <mergeCell ref="AK42:AL42"/>
    <mergeCell ref="AK40:AL40"/>
    <mergeCell ref="A41:F42"/>
    <mergeCell ref="G41:K41"/>
    <mergeCell ref="L41:P41"/>
    <mergeCell ref="Q41:R41"/>
    <mergeCell ref="S41:Z41"/>
    <mergeCell ref="AA41:AB41"/>
    <mergeCell ref="AC41:AJ41"/>
    <mergeCell ref="AK41:AL41"/>
    <mergeCell ref="G42:K42"/>
    <mergeCell ref="A40:K40"/>
    <mergeCell ref="L40:P40"/>
    <mergeCell ref="Q40:R40"/>
    <mergeCell ref="S40:Z40"/>
    <mergeCell ref="AA40:AB40"/>
    <mergeCell ref="AC40:AJ40"/>
    <mergeCell ref="A43:F45"/>
    <mergeCell ref="G43:K43"/>
    <mergeCell ref="L43:P43"/>
    <mergeCell ref="Q43:R43"/>
    <mergeCell ref="S43:Z43"/>
    <mergeCell ref="AA43:AB43"/>
    <mergeCell ref="G45:K45"/>
    <mergeCell ref="L45:P45"/>
    <mergeCell ref="Q45:R45"/>
    <mergeCell ref="S45:Z45"/>
    <mergeCell ref="AC43:AJ43"/>
    <mergeCell ref="AK43:AL43"/>
    <mergeCell ref="G44:K44"/>
    <mergeCell ref="L44:P44"/>
    <mergeCell ref="Q44:R44"/>
    <mergeCell ref="S44:Z44"/>
    <mergeCell ref="AA44:AB44"/>
    <mergeCell ref="AC44:AJ44"/>
    <mergeCell ref="AK44:AL44"/>
    <mergeCell ref="AK46:AL46"/>
    <mergeCell ref="G47:K47"/>
    <mergeCell ref="L47:P47"/>
    <mergeCell ref="Q47:R47"/>
    <mergeCell ref="S47:Z47"/>
    <mergeCell ref="AA47:AB47"/>
    <mergeCell ref="AC47:AJ47"/>
    <mergeCell ref="AK47:AL47"/>
    <mergeCell ref="AA45:AB45"/>
    <mergeCell ref="AC45:AJ45"/>
    <mergeCell ref="AK45:AL45"/>
    <mergeCell ref="G46:K46"/>
    <mergeCell ref="L46:P46"/>
    <mergeCell ref="Q46:R46"/>
    <mergeCell ref="S46:Z46"/>
    <mergeCell ref="AA46:AB46"/>
    <mergeCell ref="AC46:AJ46"/>
    <mergeCell ref="AK48:AL48"/>
    <mergeCell ref="A49:F50"/>
    <mergeCell ref="G49:K49"/>
    <mergeCell ref="L49:P49"/>
    <mergeCell ref="Q49:R49"/>
    <mergeCell ref="S49:Z49"/>
    <mergeCell ref="AA49:AB49"/>
    <mergeCell ref="AC49:AJ49"/>
    <mergeCell ref="AK49:AL49"/>
    <mergeCell ref="G50:K50"/>
    <mergeCell ref="G48:K48"/>
    <mergeCell ref="L48:P48"/>
    <mergeCell ref="Q48:R48"/>
    <mergeCell ref="S48:Z48"/>
    <mergeCell ref="AA48:AB48"/>
    <mergeCell ref="AC48:AJ48"/>
    <mergeCell ref="A46:F48"/>
    <mergeCell ref="A51:K51"/>
    <mergeCell ref="L51:P51"/>
    <mergeCell ref="Q51:R51"/>
    <mergeCell ref="S51:AB51"/>
    <mergeCell ref="AC51:AJ51"/>
    <mergeCell ref="AK51:AL51"/>
    <mergeCell ref="L50:P50"/>
    <mergeCell ref="Q50:R50"/>
    <mergeCell ref="S50:Z50"/>
    <mergeCell ref="AA50:AB50"/>
    <mergeCell ref="AC50:AJ50"/>
    <mergeCell ref="AK50:AL50"/>
    <mergeCell ref="A58:F58"/>
    <mergeCell ref="G58:R58"/>
    <mergeCell ref="S58:X58"/>
    <mergeCell ref="Y58:AL58"/>
    <mergeCell ref="A59:F59"/>
    <mergeCell ref="G59:AL59"/>
    <mergeCell ref="A53:F53"/>
    <mergeCell ref="G53:AL53"/>
    <mergeCell ref="A54:F54"/>
    <mergeCell ref="G54:AL54"/>
    <mergeCell ref="A57:F57"/>
    <mergeCell ref="G57:R57"/>
    <mergeCell ref="S57:X57"/>
    <mergeCell ref="Y57:AL57"/>
    <mergeCell ref="A60:F60"/>
    <mergeCell ref="G60:AL60"/>
    <mergeCell ref="B62:F62"/>
    <mergeCell ref="B63:F63"/>
    <mergeCell ref="B64:F64"/>
    <mergeCell ref="B65:F65"/>
    <mergeCell ref="H65:N65"/>
    <mergeCell ref="O65:Y65"/>
    <mergeCell ref="Z65:AB65"/>
    <mergeCell ref="AC65:AL65"/>
  </mergeCells>
  <phoneticPr fontId="3"/>
  <conditionalFormatting sqref="AA15:AB16">
    <cfRule type="expression" dxfId="32" priority="1" stopIfTrue="1">
      <formula>$G$15&lt;&gt;""</formula>
    </cfRule>
  </conditionalFormatting>
  <conditionalFormatting sqref="G15:K15 Q15:R15 AC15:AL15">
    <cfRule type="expression" dxfId="31" priority="2" stopIfTrue="1">
      <formula>$G$15&lt;&gt;""</formula>
    </cfRule>
  </conditionalFormatting>
  <conditionalFormatting sqref="G17:R17 AC17:AL17">
    <cfRule type="expression" dxfId="30" priority="3" stopIfTrue="1">
      <formula>$G$17&lt;&gt;""</formula>
    </cfRule>
  </conditionalFormatting>
  <conditionalFormatting sqref="G20:R20 AC20:AL20">
    <cfRule type="expression" dxfId="29" priority="4" stopIfTrue="1">
      <formula>$G$20&lt;&gt;""</formula>
    </cfRule>
  </conditionalFormatting>
  <conditionalFormatting sqref="G23:R23 AC23:AL23">
    <cfRule type="expression" dxfId="28" priority="5" stopIfTrue="1">
      <formula>$G$23&lt;&gt;""</formula>
    </cfRule>
  </conditionalFormatting>
  <conditionalFormatting sqref="G26:R26 AC26:AL26">
    <cfRule type="expression" dxfId="27" priority="6" stopIfTrue="1">
      <formula>$G$26&lt;&gt;""</formula>
    </cfRule>
  </conditionalFormatting>
  <conditionalFormatting sqref="G29:R29 AC29:AL29">
    <cfRule type="expression" dxfId="26" priority="7" stopIfTrue="1">
      <formula>$G$29&lt;&gt;""</formula>
    </cfRule>
  </conditionalFormatting>
  <conditionalFormatting sqref="G31:R31 AC31:AL31">
    <cfRule type="expression" dxfId="25" priority="8" stopIfTrue="1">
      <formula>$G$31&lt;&gt;""</formula>
    </cfRule>
  </conditionalFormatting>
  <conditionalFormatting sqref="S23:Z23">
    <cfRule type="expression" dxfId="24" priority="9" stopIfTrue="1">
      <formula>$G$23&lt;&gt;""</formula>
    </cfRule>
  </conditionalFormatting>
  <conditionalFormatting sqref="L15:P15">
    <cfRule type="expression" dxfId="23" priority="10" stopIfTrue="1">
      <formula>$G$15&lt;&gt;""</formula>
    </cfRule>
  </conditionalFormatting>
  <conditionalFormatting sqref="S31:Z31">
    <cfRule type="expression" dxfId="22" priority="11" stopIfTrue="1">
      <formula>$G$31&lt;&gt;""</formula>
    </cfRule>
  </conditionalFormatting>
  <conditionalFormatting sqref="AA23:AB23">
    <cfRule type="expression" dxfId="21" priority="12" stopIfTrue="1">
      <formula>$G$23&lt;&gt;""</formula>
    </cfRule>
  </conditionalFormatting>
  <conditionalFormatting sqref="S26:Z26">
    <cfRule type="expression" dxfId="20" priority="13" stopIfTrue="1">
      <formula>$G$23&lt;&gt;""</formula>
    </cfRule>
  </conditionalFormatting>
  <conditionalFormatting sqref="AA26:AB26">
    <cfRule type="expression" dxfId="19" priority="14" stopIfTrue="1">
      <formula>$G$23&lt;&gt;""</formula>
    </cfRule>
  </conditionalFormatting>
  <conditionalFormatting sqref="S29:Z29">
    <cfRule type="expression" dxfId="18" priority="15" stopIfTrue="1">
      <formula>$G$23&lt;&gt;""</formula>
    </cfRule>
  </conditionalFormatting>
  <conditionalFormatting sqref="AA29:AB29">
    <cfRule type="expression" dxfId="17" priority="16" stopIfTrue="1">
      <formula>$G$23&lt;&gt;""</formula>
    </cfRule>
  </conditionalFormatting>
  <conditionalFormatting sqref="S20:Z20">
    <cfRule type="expression" dxfId="16" priority="17" stopIfTrue="1">
      <formula>$G$20&lt;&gt;""</formula>
    </cfRule>
  </conditionalFormatting>
  <conditionalFormatting sqref="AA20:AB20">
    <cfRule type="expression" dxfId="15" priority="18" stopIfTrue="1">
      <formula>$G$20&lt;&gt;""</formula>
    </cfRule>
  </conditionalFormatting>
  <conditionalFormatting sqref="S15:Z15">
    <cfRule type="expression" dxfId="14" priority="19" stopIfTrue="1">
      <formula>$G$15&lt;&gt;""</formula>
    </cfRule>
  </conditionalFormatting>
  <conditionalFormatting sqref="S17:Z17">
    <cfRule type="expression" dxfId="13" priority="20" stopIfTrue="1">
      <formula>$G$17&lt;&gt;""</formula>
    </cfRule>
  </conditionalFormatting>
  <conditionalFormatting sqref="AA17:AB17">
    <cfRule type="expression" dxfId="12" priority="21" stopIfTrue="1">
      <formula>$G$17&lt;&gt;""</formula>
    </cfRule>
  </conditionalFormatting>
  <conditionalFormatting sqref="AA31:AB31">
    <cfRule type="expression" dxfId="11" priority="22" stopIfTrue="1">
      <formula>$G$31&lt;&gt;""</formula>
    </cfRule>
  </conditionalFormatting>
  <conditionalFormatting sqref="L40:R40 AC40:AL40">
    <cfRule type="expression" dxfId="10" priority="23" stopIfTrue="1">
      <formula>$G$40&lt;&gt;""</formula>
    </cfRule>
  </conditionalFormatting>
  <conditionalFormatting sqref="G41:P41 AC41:AL41">
    <cfRule type="expression" dxfId="9" priority="24" stopIfTrue="1">
      <formula>$G$20&lt;&gt;""</formula>
    </cfRule>
  </conditionalFormatting>
  <conditionalFormatting sqref="G49:AL49">
    <cfRule type="expression" dxfId="8" priority="25" stopIfTrue="1">
      <formula>$G$49&lt;&gt;""</formula>
    </cfRule>
  </conditionalFormatting>
  <conditionalFormatting sqref="G43:AL43">
    <cfRule type="expression" dxfId="7" priority="26" stopIfTrue="1">
      <formula>$G$43&lt;&gt;""</formula>
    </cfRule>
  </conditionalFormatting>
  <conditionalFormatting sqref="G44:R44 AC44:AL44">
    <cfRule type="expression" dxfId="6" priority="27" stopIfTrue="1">
      <formula>$G$44&lt;&gt;""</formula>
    </cfRule>
  </conditionalFormatting>
  <conditionalFormatting sqref="G46:AL46">
    <cfRule type="expression" dxfId="5" priority="28" stopIfTrue="1">
      <formula>$G$46&lt;&gt;""</formula>
    </cfRule>
  </conditionalFormatting>
  <conditionalFormatting sqref="G47:R47 AC47:AL47">
    <cfRule type="expression" dxfId="4" priority="29" stopIfTrue="1">
      <formula>$G$47&lt;&gt;""</formula>
    </cfRule>
  </conditionalFormatting>
  <conditionalFormatting sqref="S44:Z44">
    <cfRule type="expression" dxfId="3" priority="30" stopIfTrue="1">
      <formula>$G$44&lt;&gt;""</formula>
    </cfRule>
  </conditionalFormatting>
  <conditionalFormatting sqref="AA44:AB44">
    <cfRule type="expression" dxfId="2" priority="31" stopIfTrue="1">
      <formula>$G$44&lt;&gt;""</formula>
    </cfRule>
  </conditionalFormatting>
  <conditionalFormatting sqref="S47:Z47">
    <cfRule type="expression" dxfId="1" priority="32" stopIfTrue="1">
      <formula>$G$47&lt;&gt;""</formula>
    </cfRule>
  </conditionalFormatting>
  <conditionalFormatting sqref="AA47:AB47">
    <cfRule type="expression" dxfId="0" priority="33" stopIfTrue="1">
      <formula>$G$47&lt;&gt;""</formula>
    </cfRule>
  </conditionalFormatting>
  <dataValidations count="5">
    <dataValidation type="list" showErrorMessage="1" errorTitle="入力規則" error="リストから選択してください。" sqref="G58:R58" xr:uid="{6E95DA53-236F-4F0B-8099-7DE24DDA2ED3}">
      <formula1>"普　通,当　座"</formula1>
    </dataValidation>
    <dataValidation type="whole" operator="greaterThan" allowBlank="1" showInputMessage="1" showErrorMessage="1" errorTitle="入力規則" error="0より大きい整数を入力してください。" sqref="M15:P36 M39:P51 L15:L51 S46:Z46 S43:Z43" xr:uid="{75D6D70C-0819-4542-92ED-1DC5FB0041B8}">
      <formula1>0</formula1>
    </dataValidation>
    <dataValidation type="list" showErrorMessage="1" errorTitle="入力規則" error="リストから選択してください。" sqref="D4:P4" xr:uid="{F431C28D-EF6E-4B38-B109-FF724864D43D}">
      <formula1>INDIRECT("委託料一覧!a6:a33")</formula1>
    </dataValidation>
    <dataValidation type="whole" allowBlank="1" showInputMessage="1" showErrorMessage="1" errorTitle="入力既存" error="1 ～ 12 の整数を入力してください。" sqref="O9:P9 AG3:AH3" xr:uid="{1D34A726-DE78-4BA2-B8AD-98DC855DCC01}">
      <formula1>1</formula1>
      <formula2>12</formula2>
    </dataValidation>
    <dataValidation type="whole" allowBlank="1" showInputMessage="1" showErrorMessage="1" errorTitle="入力規則" error="1 ～ 31 の整数を入力してください。" sqref="AJ3:AK3" xr:uid="{BA1967FB-071B-48A9-A2CB-F703DA2A9A28}">
      <formula1>1</formula1>
      <formula2>31</formula2>
    </dataValidation>
  </dataValidations>
  <printOptions horizontalCentered="1"/>
  <pageMargins left="0.39370078740157477" right="0.39370078740157477" top="0.39370078740157477" bottom="0" header="0.31496062992125984" footer="0.19685039370078738"/>
  <pageSetup paperSize="9" scale="86" orientation="portrait" blackAndWhite="1" r:id="rId1"/>
  <headerFooter alignWithMargins="0">
    <oddHeader>&amp;R&amp;"ＭＳ 明朝,標準"標準様式２</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実施報告書兼請求書</vt:lpstr>
      <vt:lpstr>実施報告書兼請求書!Print_Area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渡辺祥達</dc:creator>
  <cp:lastModifiedBy> </cp:lastModifiedBy>
  <dcterms:created xsi:type="dcterms:W3CDTF">2023-04-24T06:27:46Z</dcterms:created>
  <dcterms:modified xsi:type="dcterms:W3CDTF">2023-04-24T06:44:37Z</dcterms:modified>
</cp:coreProperties>
</file>